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ktg vet rend mod  intézm\2019\2020 februá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9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Q55" i="47" l="1"/>
  <c r="R55" i="47"/>
  <c r="S55" i="47"/>
  <c r="T55" i="47"/>
  <c r="P55" i="47"/>
  <c r="Q54" i="47"/>
  <c r="R54" i="47"/>
  <c r="S54" i="47"/>
  <c r="T54" i="47"/>
  <c r="P54" i="47"/>
  <c r="Q47" i="47"/>
  <c r="R47" i="47"/>
  <c r="S47" i="47"/>
  <c r="T47" i="47"/>
  <c r="P47" i="47"/>
  <c r="Q35" i="47"/>
  <c r="R35" i="47"/>
  <c r="S35" i="47"/>
  <c r="T35" i="47"/>
  <c r="P35" i="47"/>
  <c r="Q34" i="47"/>
  <c r="R34" i="47"/>
  <c r="S34" i="47"/>
  <c r="T34" i="47"/>
  <c r="P34" i="47"/>
  <c r="R33" i="47"/>
  <c r="S33" i="47"/>
  <c r="T33" i="47"/>
  <c r="Q33" i="47"/>
  <c r="P33" i="47"/>
  <c r="Q32" i="47"/>
  <c r="S32" i="47" s="1"/>
  <c r="T32" i="47" s="1"/>
  <c r="T31" i="47"/>
  <c r="T30" i="47"/>
  <c r="S30" i="47"/>
  <c r="S31" i="47"/>
  <c r="R31" i="47"/>
  <c r="R32" i="47"/>
  <c r="R30" i="47"/>
  <c r="Q28" i="47"/>
  <c r="R28" i="47"/>
  <c r="S28" i="47"/>
  <c r="T28" i="47"/>
  <c r="P28" i="47"/>
  <c r="Q27" i="47"/>
  <c r="R27" i="47"/>
  <c r="S27" i="47"/>
  <c r="T27" i="47"/>
  <c r="P27" i="47"/>
  <c r="R24" i="47"/>
  <c r="S24" i="47"/>
  <c r="T24" i="47"/>
  <c r="Q24" i="47"/>
  <c r="P24" i="47"/>
  <c r="Q21" i="47"/>
  <c r="R21" i="47"/>
  <c r="S21" i="47"/>
  <c r="T21" i="47"/>
  <c r="P21" i="47"/>
  <c r="Q20" i="47"/>
  <c r="R20" i="47"/>
  <c r="S20" i="47"/>
  <c r="T20" i="47"/>
  <c r="P20" i="47"/>
  <c r="T18" i="47"/>
  <c r="S18" i="47"/>
  <c r="R18" i="47"/>
  <c r="R17" i="47"/>
  <c r="S17" i="47"/>
  <c r="T17" i="47"/>
  <c r="Q18" i="47"/>
  <c r="Q17" i="47"/>
  <c r="P18" i="47"/>
  <c r="P17" i="47"/>
  <c r="T11" i="47"/>
  <c r="T12" i="47"/>
  <c r="T14" i="47"/>
  <c r="S11" i="47"/>
  <c r="S12" i="47"/>
  <c r="S14" i="47"/>
  <c r="R11" i="47"/>
  <c r="R12" i="47"/>
  <c r="R14" i="47"/>
  <c r="Q11" i="47"/>
  <c r="Q12" i="47"/>
  <c r="Q14" i="47"/>
  <c r="P11" i="47"/>
  <c r="P12" i="47"/>
  <c r="P14" i="47"/>
  <c r="Q10" i="47"/>
  <c r="R10" i="47"/>
  <c r="S10" i="47"/>
  <c r="T10" i="47"/>
  <c r="P10" i="47"/>
  <c r="H55" i="47"/>
  <c r="I55" i="47"/>
  <c r="J55" i="47"/>
  <c r="K55" i="47"/>
  <c r="G55" i="47"/>
  <c r="G54" i="47"/>
  <c r="H54" i="47"/>
  <c r="I54" i="47"/>
  <c r="J54" i="47"/>
  <c r="K54" i="47"/>
  <c r="H46" i="47"/>
  <c r="I46" i="47"/>
  <c r="J46" i="47"/>
  <c r="K46" i="47"/>
  <c r="G46" i="47"/>
  <c r="K44" i="47"/>
  <c r="J44" i="47"/>
  <c r="I44" i="47"/>
  <c r="H41" i="47"/>
  <c r="I41" i="47"/>
  <c r="J41" i="47"/>
  <c r="K41" i="47"/>
  <c r="G41" i="47"/>
  <c r="H35" i="47"/>
  <c r="I35" i="47"/>
  <c r="J35" i="47"/>
  <c r="K35" i="47"/>
  <c r="G35" i="47"/>
  <c r="H34" i="47"/>
  <c r="I34" i="47"/>
  <c r="J34" i="47"/>
  <c r="K34" i="47"/>
  <c r="G34" i="47"/>
  <c r="H33" i="47"/>
  <c r="I33" i="47"/>
  <c r="J33" i="47"/>
  <c r="K33" i="47"/>
  <c r="G33" i="47"/>
  <c r="H30" i="47"/>
  <c r="I30" i="47"/>
  <c r="J30" i="47"/>
  <c r="K30" i="47"/>
  <c r="G30" i="47"/>
  <c r="H29" i="47"/>
  <c r="I29" i="47"/>
  <c r="J29" i="47"/>
  <c r="K29" i="47"/>
  <c r="G29" i="47"/>
  <c r="H26" i="47"/>
  <c r="I26" i="47"/>
  <c r="J26" i="47"/>
  <c r="K26" i="47"/>
  <c r="G26" i="47"/>
  <c r="H25" i="47"/>
  <c r="I25" i="47"/>
  <c r="J25" i="47"/>
  <c r="K25" i="47"/>
  <c r="G25" i="47"/>
  <c r="I24" i="47"/>
  <c r="J24" i="47"/>
  <c r="K24" i="47"/>
  <c r="H24" i="47"/>
  <c r="H20" i="47"/>
  <c r="I20" i="47"/>
  <c r="J20" i="47"/>
  <c r="K20" i="47"/>
  <c r="G20" i="47"/>
  <c r="H17" i="47"/>
  <c r="I17" i="47"/>
  <c r="J17" i="47"/>
  <c r="K17" i="47"/>
  <c r="G17" i="47"/>
  <c r="H16" i="47"/>
  <c r="I16" i="47"/>
  <c r="J16" i="47"/>
  <c r="K16" i="47"/>
  <c r="G16" i="47"/>
  <c r="H13" i="47" l="1"/>
  <c r="I13" i="47"/>
  <c r="J13" i="47"/>
  <c r="K13" i="47"/>
  <c r="G13" i="47"/>
  <c r="I11" i="47"/>
  <c r="J11" i="47"/>
  <c r="K11" i="47"/>
  <c r="H11" i="47"/>
  <c r="G11" i="47"/>
  <c r="P54" i="42"/>
  <c r="Q54" i="42"/>
  <c r="R54" i="42"/>
  <c r="S54" i="42"/>
  <c r="T54" i="42"/>
  <c r="G54" i="42"/>
  <c r="H54" i="42"/>
  <c r="I54" i="42"/>
  <c r="J54" i="42"/>
  <c r="K54" i="42"/>
  <c r="G53" i="42"/>
  <c r="H53" i="42"/>
  <c r="I53" i="42"/>
  <c r="J53" i="42"/>
  <c r="K53" i="42"/>
  <c r="G49" i="42"/>
  <c r="H49" i="42"/>
  <c r="I49" i="42"/>
  <c r="J49" i="42"/>
  <c r="K49" i="42"/>
  <c r="G48" i="42"/>
  <c r="H48" i="42"/>
  <c r="I48" i="42"/>
  <c r="J48" i="42"/>
  <c r="K48" i="42"/>
  <c r="K43" i="42"/>
  <c r="J43" i="42"/>
  <c r="I43" i="42"/>
  <c r="P34" i="42"/>
  <c r="Q34" i="42"/>
  <c r="R34" i="42"/>
  <c r="S34" i="42"/>
  <c r="T34" i="42"/>
  <c r="T33" i="42"/>
  <c r="S33" i="42"/>
  <c r="R33" i="42"/>
  <c r="Q33" i="42"/>
  <c r="P33" i="42"/>
  <c r="T27" i="42"/>
  <c r="S27" i="42"/>
  <c r="R27" i="42"/>
  <c r="T24" i="42"/>
  <c r="S24" i="42"/>
  <c r="R24" i="42"/>
  <c r="Q24" i="42"/>
  <c r="P24" i="42"/>
  <c r="T13" i="42"/>
  <c r="T14" i="42"/>
  <c r="S13" i="42"/>
  <c r="S14" i="42"/>
  <c r="R13" i="42"/>
  <c r="R14" i="42"/>
  <c r="T12" i="42"/>
  <c r="S12" i="42"/>
  <c r="R12" i="42"/>
  <c r="H34" i="42" l="1"/>
  <c r="I34" i="42"/>
  <c r="J34" i="42"/>
  <c r="K34" i="42"/>
  <c r="G34" i="42"/>
  <c r="H33" i="42"/>
  <c r="I33" i="42"/>
  <c r="J33" i="42"/>
  <c r="K33" i="42"/>
  <c r="G33" i="42"/>
  <c r="H32" i="42"/>
  <c r="I32" i="42"/>
  <c r="J32" i="42"/>
  <c r="K32" i="42"/>
  <c r="G32" i="42"/>
  <c r="K20" i="42"/>
  <c r="J20" i="42"/>
  <c r="I20" i="42"/>
  <c r="K14" i="42"/>
  <c r="J14" i="42"/>
  <c r="I14" i="42"/>
  <c r="H54" i="64"/>
  <c r="I54" i="64"/>
  <c r="J54" i="64"/>
  <c r="K54" i="64"/>
  <c r="G54" i="64"/>
  <c r="Q54" i="64"/>
  <c r="R54" i="64"/>
  <c r="S54" i="64"/>
  <c r="T54" i="64"/>
  <c r="P54" i="64"/>
  <c r="P53" i="64"/>
  <c r="Q53" i="64"/>
  <c r="R53" i="64"/>
  <c r="S53" i="64"/>
  <c r="T53" i="64"/>
  <c r="P34" i="64"/>
  <c r="Q34" i="64"/>
  <c r="R34" i="64"/>
  <c r="S34" i="64"/>
  <c r="T34" i="64"/>
  <c r="Q33" i="64"/>
  <c r="R33" i="64"/>
  <c r="I49" i="64" s="1"/>
  <c r="I53" i="64" s="1"/>
  <c r="S33" i="64"/>
  <c r="J49" i="64" s="1"/>
  <c r="J53" i="64" s="1"/>
  <c r="T33" i="64"/>
  <c r="K49" i="64" s="1"/>
  <c r="P33" i="64"/>
  <c r="G49" i="64" s="1"/>
  <c r="S27" i="64"/>
  <c r="R27" i="64"/>
  <c r="T27" i="64" s="1"/>
  <c r="P24" i="64"/>
  <c r="Q24" i="64"/>
  <c r="R24" i="64"/>
  <c r="S24" i="64"/>
  <c r="T24" i="64"/>
  <c r="T13" i="64"/>
  <c r="T14" i="64"/>
  <c r="T12" i="64"/>
  <c r="S13" i="64"/>
  <c r="S14" i="64"/>
  <c r="R13" i="64"/>
  <c r="R14" i="64"/>
  <c r="S12" i="64"/>
  <c r="R12" i="64"/>
  <c r="H49" i="64"/>
  <c r="G48" i="64"/>
  <c r="H48" i="64"/>
  <c r="I48" i="64"/>
  <c r="J48" i="64"/>
  <c r="K48" i="64"/>
  <c r="K43" i="64"/>
  <c r="J43" i="64"/>
  <c r="I43" i="64"/>
  <c r="H34" i="64"/>
  <c r="I34" i="64"/>
  <c r="J34" i="64"/>
  <c r="K34" i="64"/>
  <c r="G34" i="64"/>
  <c r="G32" i="64"/>
  <c r="H32" i="64"/>
  <c r="I32" i="64"/>
  <c r="J32" i="64"/>
  <c r="K32" i="64"/>
  <c r="K20" i="64"/>
  <c r="K14" i="64"/>
  <c r="J20" i="64"/>
  <c r="J29" i="64"/>
  <c r="K29" i="64" s="1"/>
  <c r="I20" i="64"/>
  <c r="I29" i="64"/>
  <c r="J14" i="64"/>
  <c r="I14" i="64"/>
  <c r="H54" i="51"/>
  <c r="I54" i="51"/>
  <c r="J54" i="51"/>
  <c r="K54" i="51"/>
  <c r="G54" i="51"/>
  <c r="G53" i="51"/>
  <c r="H53" i="51"/>
  <c r="I53" i="51"/>
  <c r="J53" i="51"/>
  <c r="K53" i="51"/>
  <c r="K43" i="51"/>
  <c r="J43" i="51"/>
  <c r="I43" i="51"/>
  <c r="G49" i="51"/>
  <c r="H49" i="51"/>
  <c r="I49" i="51"/>
  <c r="J49" i="51"/>
  <c r="K49" i="51"/>
  <c r="G48" i="51"/>
  <c r="H48" i="51"/>
  <c r="I48" i="51"/>
  <c r="J48" i="51"/>
  <c r="K48" i="51"/>
  <c r="Q54" i="51"/>
  <c r="R54" i="51"/>
  <c r="S54" i="51"/>
  <c r="T54" i="51"/>
  <c r="P54" i="51"/>
  <c r="Q34" i="51"/>
  <c r="R34" i="51"/>
  <c r="S34" i="51"/>
  <c r="T34" i="51"/>
  <c r="P34" i="51"/>
  <c r="S33" i="51"/>
  <c r="T33" i="51"/>
  <c r="R33" i="51"/>
  <c r="Q33" i="51"/>
  <c r="P33" i="51"/>
  <c r="S27" i="51"/>
  <c r="T27" i="51" s="1"/>
  <c r="R27" i="51"/>
  <c r="Q24" i="51"/>
  <c r="R24" i="51"/>
  <c r="S24" i="51"/>
  <c r="T24" i="51"/>
  <c r="P24" i="51"/>
  <c r="T13" i="51"/>
  <c r="T14" i="51"/>
  <c r="S13" i="51"/>
  <c r="S14" i="51"/>
  <c r="R13" i="51"/>
  <c r="R14" i="51"/>
  <c r="T12" i="51"/>
  <c r="S12" i="51"/>
  <c r="R12" i="51"/>
  <c r="G54" i="44"/>
  <c r="H54" i="44"/>
  <c r="Q54" i="44"/>
  <c r="R54" i="44"/>
  <c r="S54" i="44"/>
  <c r="T54" i="44"/>
  <c r="P54" i="44"/>
  <c r="T53" i="44"/>
  <c r="S53" i="44"/>
  <c r="R53" i="44"/>
  <c r="Q34" i="44"/>
  <c r="R34" i="44"/>
  <c r="S34" i="44"/>
  <c r="T34" i="44"/>
  <c r="P34" i="44"/>
  <c r="T33" i="44"/>
  <c r="S33" i="44"/>
  <c r="R33" i="44"/>
  <c r="Q33" i="44"/>
  <c r="P33" i="44"/>
  <c r="G49" i="44" s="1"/>
  <c r="T27" i="44"/>
  <c r="S27" i="44"/>
  <c r="R27" i="44"/>
  <c r="T24" i="44"/>
  <c r="S24" i="44"/>
  <c r="J48" i="44" s="1"/>
  <c r="R24" i="44"/>
  <c r="Q24" i="44"/>
  <c r="P24" i="44"/>
  <c r="T13" i="44"/>
  <c r="T14" i="44"/>
  <c r="S13" i="44"/>
  <c r="S14" i="44"/>
  <c r="R13" i="44"/>
  <c r="R14" i="44"/>
  <c r="T12" i="44"/>
  <c r="S12" i="44"/>
  <c r="R12" i="44"/>
  <c r="H49" i="44"/>
  <c r="G48" i="44"/>
  <c r="H48" i="44"/>
  <c r="K48" i="44"/>
  <c r="K43" i="44"/>
  <c r="J43" i="44"/>
  <c r="I43" i="44"/>
  <c r="H32" i="44"/>
  <c r="I32" i="44"/>
  <c r="J32" i="44"/>
  <c r="K32" i="44"/>
  <c r="H33" i="44"/>
  <c r="I33" i="44"/>
  <c r="I49" i="44" s="1"/>
  <c r="J33" i="44"/>
  <c r="K33" i="44"/>
  <c r="K49" i="44" s="1"/>
  <c r="H34" i="44"/>
  <c r="I34" i="44"/>
  <c r="J34" i="44"/>
  <c r="K34" i="44"/>
  <c r="G34" i="44"/>
  <c r="G33" i="44"/>
  <c r="G32" i="44"/>
  <c r="K20" i="44"/>
  <c r="J20" i="44"/>
  <c r="J25" i="44"/>
  <c r="K25" i="44" s="1"/>
  <c r="I20" i="44"/>
  <c r="I25" i="44"/>
  <c r="K14" i="44"/>
  <c r="J14" i="44"/>
  <c r="I14" i="44"/>
  <c r="H54" i="45"/>
  <c r="I54" i="45"/>
  <c r="J54" i="45"/>
  <c r="K54" i="45"/>
  <c r="G54" i="45"/>
  <c r="K49" i="45"/>
  <c r="K53" i="45"/>
  <c r="K48" i="45"/>
  <c r="H48" i="45"/>
  <c r="H53" i="45" s="1"/>
  <c r="I48" i="45"/>
  <c r="I53" i="45" s="1"/>
  <c r="J48" i="45"/>
  <c r="G48" i="45"/>
  <c r="G53" i="45"/>
  <c r="J53" i="45"/>
  <c r="Q54" i="45"/>
  <c r="R54" i="45"/>
  <c r="S54" i="45"/>
  <c r="T54" i="45"/>
  <c r="P54" i="45"/>
  <c r="T53" i="45"/>
  <c r="S53" i="45"/>
  <c r="R53" i="45"/>
  <c r="K53" i="64" l="1"/>
  <c r="H53" i="64"/>
  <c r="G53" i="64"/>
  <c r="I48" i="44"/>
  <c r="K54" i="44"/>
  <c r="K53" i="44"/>
  <c r="J49" i="44"/>
  <c r="J53" i="44"/>
  <c r="J54" i="44" s="1"/>
  <c r="I53" i="44"/>
  <c r="I54" i="44" s="1"/>
  <c r="H53" i="44"/>
  <c r="G53" i="44"/>
  <c r="Q34" i="45"/>
  <c r="P34" i="45"/>
  <c r="Q33" i="45"/>
  <c r="S33" i="45" s="1"/>
  <c r="J49" i="45" s="1"/>
  <c r="Q27" i="45"/>
  <c r="T24" i="45"/>
  <c r="S24" i="45"/>
  <c r="S27" i="45"/>
  <c r="T27" i="45" s="1"/>
  <c r="S34" i="45"/>
  <c r="R24" i="45"/>
  <c r="R27" i="45"/>
  <c r="R33" i="45"/>
  <c r="R34" i="45"/>
  <c r="Q24" i="45"/>
  <c r="P24" i="45"/>
  <c r="T13" i="45"/>
  <c r="T18" i="45"/>
  <c r="S13" i="45"/>
  <c r="S14" i="45"/>
  <c r="S16" i="45"/>
  <c r="S18" i="45"/>
  <c r="S19" i="45"/>
  <c r="R13" i="45"/>
  <c r="R14" i="45"/>
  <c r="R16" i="45"/>
  <c r="T16" i="45" s="1"/>
  <c r="R18" i="45"/>
  <c r="R19" i="45"/>
  <c r="T19" i="45" s="1"/>
  <c r="T12" i="45"/>
  <c r="S12" i="45"/>
  <c r="R12" i="45"/>
  <c r="G49" i="45"/>
  <c r="K43" i="45"/>
  <c r="J43" i="45"/>
  <c r="I43" i="45"/>
  <c r="H34" i="45"/>
  <c r="I34" i="45"/>
  <c r="J34" i="45"/>
  <c r="K34" i="45"/>
  <c r="G34" i="45"/>
  <c r="H33" i="45"/>
  <c r="I33" i="45"/>
  <c r="J33" i="45"/>
  <c r="K33" i="45"/>
  <c r="G33" i="45"/>
  <c r="H32" i="45"/>
  <c r="I32" i="45"/>
  <c r="J32" i="45"/>
  <c r="K32" i="45"/>
  <c r="G32" i="45"/>
  <c r="K25" i="45"/>
  <c r="J25" i="45"/>
  <c r="K20" i="45"/>
  <c r="J20" i="45"/>
  <c r="I20" i="45"/>
  <c r="K14" i="45"/>
  <c r="J14" i="45"/>
  <c r="I14" i="45"/>
  <c r="T34" i="45" l="1"/>
  <c r="H49" i="45"/>
  <c r="T33" i="45"/>
  <c r="I49" i="45"/>
  <c r="T14" i="45"/>
  <c r="H37" i="46"/>
  <c r="I37" i="46"/>
  <c r="J37" i="46"/>
  <c r="K37" i="46"/>
  <c r="G37" i="46"/>
  <c r="R55" i="46"/>
  <c r="S55" i="46"/>
  <c r="T55" i="46"/>
  <c r="U55" i="46"/>
  <c r="Q55" i="46"/>
  <c r="R54" i="46"/>
  <c r="T54" i="46" s="1"/>
  <c r="U54" i="46" s="1"/>
  <c r="Q54" i="46"/>
  <c r="R35" i="46"/>
  <c r="S35" i="46"/>
  <c r="T35" i="46"/>
  <c r="U35" i="46"/>
  <c r="Q35" i="46"/>
  <c r="R34" i="46"/>
  <c r="Q34" i="46"/>
  <c r="S34" i="46" s="1"/>
  <c r="R24" i="46"/>
  <c r="Q24" i="46"/>
  <c r="T49" i="46"/>
  <c r="T50" i="46"/>
  <c r="S49" i="46"/>
  <c r="S50" i="46"/>
  <c r="S54" i="46"/>
  <c r="U47" i="46"/>
  <c r="T47" i="46"/>
  <c r="S47" i="46"/>
  <c r="U28" i="46"/>
  <c r="U29" i="46"/>
  <c r="U30" i="46"/>
  <c r="U31" i="46"/>
  <c r="T27" i="46"/>
  <c r="T28" i="46"/>
  <c r="T29" i="46"/>
  <c r="T30" i="46"/>
  <c r="T31" i="46"/>
  <c r="T32" i="46"/>
  <c r="U32" i="46" s="1"/>
  <c r="T33" i="46"/>
  <c r="T34" i="46"/>
  <c r="S27" i="46"/>
  <c r="U27" i="46" s="1"/>
  <c r="S28" i="46"/>
  <c r="S29" i="46"/>
  <c r="S30" i="46"/>
  <c r="S31" i="46"/>
  <c r="S32" i="46"/>
  <c r="S33" i="46"/>
  <c r="U33" i="46" s="1"/>
  <c r="U18" i="46"/>
  <c r="T11" i="46"/>
  <c r="T12" i="46"/>
  <c r="T14" i="46"/>
  <c r="T17" i="46"/>
  <c r="U17" i="46" s="1"/>
  <c r="T18" i="46"/>
  <c r="T20" i="46"/>
  <c r="U20" i="46" s="1"/>
  <c r="T21" i="46"/>
  <c r="U21" i="46" s="1"/>
  <c r="S11" i="46"/>
  <c r="S12" i="46"/>
  <c r="S14" i="46"/>
  <c r="S17" i="46"/>
  <c r="S18" i="46"/>
  <c r="S20" i="46"/>
  <c r="S21" i="46"/>
  <c r="U10" i="46"/>
  <c r="T10" i="46"/>
  <c r="S10" i="46"/>
  <c r="H54" i="46"/>
  <c r="G54" i="46"/>
  <c r="H34" i="46"/>
  <c r="J34" i="46" s="1"/>
  <c r="K34" i="46" s="1"/>
  <c r="G34" i="46"/>
  <c r="H33" i="46"/>
  <c r="H35" i="46" s="1"/>
  <c r="G33" i="46"/>
  <c r="G35" i="46" s="1"/>
  <c r="K29" i="46"/>
  <c r="K36" i="46"/>
  <c r="K41" i="46"/>
  <c r="K44" i="46"/>
  <c r="J54" i="46"/>
  <c r="J44" i="46"/>
  <c r="J46" i="46"/>
  <c r="I41" i="46"/>
  <c r="I44" i="46"/>
  <c r="I46" i="46"/>
  <c r="K46" i="46" s="1"/>
  <c r="I54" i="46"/>
  <c r="K54" i="46" s="1"/>
  <c r="J29" i="46"/>
  <c r="J30" i="46"/>
  <c r="K30" i="46" s="1"/>
  <c r="J36" i="46"/>
  <c r="J41" i="46"/>
  <c r="I24" i="46"/>
  <c r="I26" i="46"/>
  <c r="I29" i="46"/>
  <c r="I30" i="46"/>
  <c r="I33" i="46"/>
  <c r="I34" i="46"/>
  <c r="I36" i="46"/>
  <c r="K13" i="46"/>
  <c r="K16" i="46"/>
  <c r="K25" i="46"/>
  <c r="J13" i="46"/>
  <c r="J16" i="46"/>
  <c r="J17" i="46"/>
  <c r="J20" i="46"/>
  <c r="J24" i="46"/>
  <c r="K24" i="46" s="1"/>
  <c r="J25" i="46"/>
  <c r="J26" i="46"/>
  <c r="I13" i="46"/>
  <c r="I16" i="46"/>
  <c r="I17" i="46"/>
  <c r="K17" i="46" s="1"/>
  <c r="I20" i="46"/>
  <c r="K20" i="46" s="1"/>
  <c r="U50" i="46" l="1"/>
  <c r="U49" i="46"/>
  <c r="U34" i="46"/>
  <c r="G55" i="46"/>
  <c r="I35" i="46"/>
  <c r="H55" i="46"/>
  <c r="J35" i="46"/>
  <c r="J55" i="46" s="1"/>
  <c r="J33" i="46"/>
  <c r="U14" i="46"/>
  <c r="U12" i="46"/>
  <c r="U11" i="46"/>
  <c r="K33" i="46"/>
  <c r="K26" i="46"/>
  <c r="K11" i="46"/>
  <c r="J11" i="46"/>
  <c r="I11" i="46"/>
  <c r="K35" i="46" l="1"/>
  <c r="K55" i="46" s="1"/>
  <c r="I55" i="46"/>
  <c r="D54" i="46"/>
  <c r="E54" i="46"/>
  <c r="F54" i="46"/>
  <c r="P54" i="46"/>
  <c r="D74" i="15" l="1"/>
  <c r="G74" i="15"/>
  <c r="J74" i="15"/>
  <c r="M74" i="15"/>
  <c r="P74" i="15"/>
  <c r="S74" i="15"/>
  <c r="V74" i="15"/>
  <c r="W74" i="15"/>
  <c r="Z74" i="15"/>
  <c r="AA74" i="15"/>
  <c r="AD74" i="15"/>
  <c r="AE74" i="15"/>
  <c r="AF74" i="15"/>
  <c r="AI74" i="15"/>
  <c r="AL74" i="15"/>
  <c r="F44" i="6" l="1"/>
  <c r="D45" i="6"/>
  <c r="E45" i="6"/>
  <c r="F45" i="6"/>
  <c r="AL70" i="15" l="1"/>
  <c r="AL71" i="15"/>
  <c r="AL69" i="15"/>
  <c r="AL68" i="15"/>
  <c r="AL67" i="15" l="1"/>
  <c r="E16" i="46"/>
  <c r="H123" i="8" l="1"/>
  <c r="K123" i="8"/>
  <c r="N123" i="8"/>
  <c r="Q123" i="8"/>
  <c r="E123" i="8"/>
  <c r="N120" i="8"/>
  <c r="K120" i="8"/>
  <c r="N95" i="8"/>
  <c r="H60" i="8"/>
  <c r="K56" i="8"/>
  <c r="N56" i="8" s="1"/>
  <c r="E60" i="8"/>
  <c r="K39" i="8"/>
  <c r="N39" i="8" s="1"/>
  <c r="K48" i="8"/>
  <c r="N48" i="8" s="1"/>
  <c r="G64" i="7"/>
  <c r="G65" i="7"/>
  <c r="G66" i="7"/>
  <c r="G67" i="7"/>
  <c r="G31" i="7"/>
  <c r="G32" i="7"/>
  <c r="F25" i="7"/>
  <c r="E25" i="7"/>
  <c r="G22" i="7"/>
  <c r="D34" i="6"/>
  <c r="D40" i="6" s="1"/>
  <c r="E34" i="6"/>
  <c r="F33" i="6"/>
  <c r="F34" i="6" s="1"/>
  <c r="F32" i="6"/>
  <c r="E29" i="6"/>
  <c r="D29" i="6"/>
  <c r="F27" i="6"/>
  <c r="E24" i="6"/>
  <c r="F24" i="6"/>
  <c r="D24" i="6"/>
  <c r="G21" i="6"/>
  <c r="H21" i="6"/>
  <c r="I21" i="6"/>
  <c r="E21" i="6"/>
  <c r="F20" i="6"/>
  <c r="D21" i="6"/>
  <c r="E41" i="5"/>
  <c r="D25" i="5"/>
  <c r="C25" i="5"/>
  <c r="E32" i="5"/>
  <c r="E33" i="5"/>
  <c r="K55" i="8" l="1"/>
  <c r="N55" i="8" s="1"/>
  <c r="N19" i="45" l="1"/>
  <c r="AL66" i="15" l="1"/>
  <c r="AL65" i="15"/>
  <c r="AL37" i="15"/>
  <c r="AI24" i="15"/>
  <c r="AL24" i="15" s="1"/>
  <c r="F24" i="63"/>
  <c r="G23" i="63"/>
  <c r="G24" i="63" s="1"/>
  <c r="H90" i="8"/>
  <c r="K90" i="8"/>
  <c r="N90" i="8"/>
  <c r="Q90" i="8"/>
  <c r="E90" i="8"/>
  <c r="Q87" i="8"/>
  <c r="K87" i="8"/>
  <c r="N86" i="8"/>
  <c r="K86" i="8"/>
  <c r="K80" i="8"/>
  <c r="N80" i="8" s="1"/>
  <c r="H70" i="8"/>
  <c r="E70" i="8"/>
  <c r="K54" i="8" l="1"/>
  <c r="N54" i="8" s="1"/>
  <c r="K53" i="8"/>
  <c r="Q53" i="8" s="1"/>
  <c r="K45" i="8"/>
  <c r="N45" i="8" s="1"/>
  <c r="H28" i="8"/>
  <c r="E28" i="8"/>
  <c r="K23" i="8"/>
  <c r="N23" i="8" s="1"/>
  <c r="K24" i="8"/>
  <c r="K25" i="8"/>
  <c r="N25" i="8" s="1"/>
  <c r="K22" i="8"/>
  <c r="Q22" i="8" s="1"/>
  <c r="Q28" i="8" s="1"/>
  <c r="E19" i="8"/>
  <c r="H19" i="8"/>
  <c r="K16" i="8"/>
  <c r="N16" i="8" s="1"/>
  <c r="G84" i="7"/>
  <c r="O19" i="45" s="1"/>
  <c r="G83" i="7"/>
  <c r="E84" i="7"/>
  <c r="M19" i="45" s="1"/>
  <c r="G79" i="7"/>
  <c r="G63" i="7"/>
  <c r="G62" i="7"/>
  <c r="G21" i="7"/>
  <c r="G14" i="7"/>
  <c r="K28" i="8" l="1"/>
  <c r="N24" i="8"/>
  <c r="N28" i="8" s="1"/>
  <c r="C30" i="54"/>
  <c r="D29" i="49" l="1"/>
  <c r="AL64" i="15" l="1"/>
  <c r="AL61" i="15"/>
  <c r="K128" i="8"/>
  <c r="N128" i="8" s="1"/>
  <c r="K127" i="8"/>
  <c r="Q127" i="8" s="1"/>
  <c r="K119" i="8"/>
  <c r="Q119" i="8" s="1"/>
  <c r="K52" i="8"/>
  <c r="N52" i="8" s="1"/>
  <c r="K51" i="8"/>
  <c r="K14" i="8"/>
  <c r="Q14" i="8" s="1"/>
  <c r="Q19" i="8" s="1"/>
  <c r="K15" i="8"/>
  <c r="Q15" i="8" s="1"/>
  <c r="G61" i="7"/>
  <c r="G60" i="7"/>
  <c r="E35" i="5"/>
  <c r="E34" i="5"/>
  <c r="D34" i="5"/>
  <c r="C34" i="5"/>
  <c r="E24" i="5"/>
  <c r="E23" i="5" s="1"/>
  <c r="D23" i="5"/>
  <c r="C23" i="5"/>
  <c r="E22" i="5"/>
  <c r="E21" i="5"/>
  <c r="D21" i="5"/>
  <c r="C21" i="5"/>
  <c r="C28" i="54" l="1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1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E29" i="24" l="1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G51" i="7" l="1"/>
  <c r="H15" i="55"/>
  <c r="D15" i="55"/>
  <c r="C15" i="55"/>
  <c r="F28" i="6" l="1"/>
  <c r="F29" i="6" s="1"/>
  <c r="C36" i="5"/>
  <c r="G59" i="7" l="1"/>
  <c r="K97" i="8" l="1"/>
  <c r="Q97" i="8" s="1"/>
  <c r="AL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K50" i="8" l="1"/>
  <c r="Q50" i="8" s="1"/>
  <c r="K13" i="8"/>
  <c r="K19" i="8" s="1"/>
  <c r="N13" i="8" l="1"/>
  <c r="N19" i="8" s="1"/>
  <c r="E58" i="5"/>
  <c r="E14" i="64" l="1"/>
  <c r="K118" i="8" l="1"/>
  <c r="Q118" i="8" l="1"/>
  <c r="A18" i="49"/>
  <c r="A19" i="49"/>
  <c r="A20" i="49"/>
  <c r="D24" i="47" l="1"/>
  <c r="C16" i="49" s="1"/>
  <c r="D32" i="64"/>
  <c r="D24" i="46" l="1"/>
  <c r="AL63" i="15"/>
  <c r="AL62" i="15"/>
  <c r="AL60" i="15"/>
  <c r="AL36" i="15"/>
  <c r="D18" i="10"/>
  <c r="K140" i="8"/>
  <c r="N140" i="8" s="1"/>
  <c r="H105" i="8"/>
  <c r="N105" i="8"/>
  <c r="M31" i="46" s="1"/>
  <c r="E105" i="8"/>
  <c r="K103" i="8"/>
  <c r="Q103" i="8" s="1"/>
  <c r="H100" i="8"/>
  <c r="K49" i="8"/>
  <c r="M31" i="47" l="1"/>
  <c r="L18" i="49" s="1"/>
  <c r="N49" i="8"/>
  <c r="G55" i="7"/>
  <c r="G56" i="7"/>
  <c r="G57" i="7"/>
  <c r="G58" i="7"/>
  <c r="G40" i="6"/>
  <c r="H40" i="6"/>
  <c r="I40" i="6"/>
  <c r="F19" i="6"/>
  <c r="F21" i="6" s="1"/>
  <c r="D61" i="5"/>
  <c r="E29" i="64" s="1"/>
  <c r="E32" i="64" s="1"/>
  <c r="C61" i="5"/>
  <c r="D29" i="64" s="1"/>
  <c r="E60" i="5"/>
  <c r="E61" i="5" s="1"/>
  <c r="F29" i="64" s="1"/>
  <c r="D59" i="5"/>
  <c r="E59" i="5"/>
  <c r="C59" i="5"/>
  <c r="C62" i="5" s="1"/>
  <c r="C38" i="5"/>
  <c r="D62" i="5" l="1"/>
  <c r="E62" i="5"/>
  <c r="B10" i="47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D20" i="49"/>
  <c r="E20" i="49"/>
  <c r="E46" i="47" l="1"/>
  <c r="D37" i="48" s="1"/>
  <c r="D46" i="47"/>
  <c r="C37" i="48" s="1"/>
  <c r="E25" i="47"/>
  <c r="E15" i="47"/>
  <c r="D12" i="49" s="1"/>
  <c r="F46" i="46"/>
  <c r="F46" i="47" s="1"/>
  <c r="E37" i="48" s="1"/>
  <c r="C18" i="10" l="1"/>
  <c r="E17" i="10"/>
  <c r="K47" i="8"/>
  <c r="N47" i="8" s="1"/>
  <c r="F80" i="7"/>
  <c r="F86" i="7" s="1"/>
  <c r="E80" i="7"/>
  <c r="E86" i="7" s="1"/>
  <c r="G80" i="7"/>
  <c r="G86" i="7" s="1"/>
  <c r="E46" i="6"/>
  <c r="E25" i="44" s="1"/>
  <c r="E33" i="44" s="1"/>
  <c r="D46" i="6"/>
  <c r="D25" i="44" s="1"/>
  <c r="D33" i="44" s="1"/>
  <c r="F46" i="6"/>
  <c r="F25" i="44" s="1"/>
  <c r="F33" i="44" s="1"/>
  <c r="D15" i="46"/>
  <c r="N18" i="45" l="1"/>
  <c r="M18" i="45"/>
  <c r="O18" i="45"/>
  <c r="F15" i="47" l="1"/>
  <c r="E12" i="49" s="1"/>
  <c r="D15" i="47"/>
  <c r="C12" i="49" s="1"/>
  <c r="AL57" i="15"/>
  <c r="AL58" i="15"/>
  <c r="AL59" i="15"/>
  <c r="G20" i="63" l="1"/>
  <c r="D32" i="10"/>
  <c r="N21" i="46" s="1"/>
  <c r="E31" i="10"/>
  <c r="C32" i="10"/>
  <c r="M21" i="46" s="1"/>
  <c r="E16" i="10"/>
  <c r="H148" i="8"/>
  <c r="K148" i="8"/>
  <c r="N148" i="8"/>
  <c r="E148" i="8"/>
  <c r="K67" i="8"/>
  <c r="Q67" i="8" s="1"/>
  <c r="K43" i="8"/>
  <c r="Q43" i="8" s="1"/>
  <c r="F73" i="7" l="1"/>
  <c r="F89" i="7" s="1"/>
  <c r="G40" i="7"/>
  <c r="G20" i="7"/>
  <c r="E16" i="47"/>
  <c r="D13" i="49" s="1"/>
  <c r="D71" i="5"/>
  <c r="E70" i="5"/>
  <c r="E52" i="5"/>
  <c r="E47" i="5"/>
  <c r="E48" i="5" s="1"/>
  <c r="D48" i="5"/>
  <c r="D49" i="5" s="1"/>
  <c r="C48" i="5"/>
  <c r="C49" i="5" s="1"/>
  <c r="D14" i="45" s="1"/>
  <c r="D11" i="5"/>
  <c r="C11" i="5"/>
  <c r="C42" i="5"/>
  <c r="D42" i="5"/>
  <c r="E30" i="5"/>
  <c r="C44" i="5" l="1"/>
  <c r="AA49" i="15"/>
  <c r="D29" i="47"/>
  <c r="C75" i="5"/>
  <c r="E29" i="47"/>
  <c r="D75" i="5"/>
  <c r="E49" i="5"/>
  <c r="E42" i="5"/>
  <c r="F75" i="7"/>
  <c r="F88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F29" i="47" l="1"/>
  <c r="E75" i="5"/>
  <c r="D44" i="47" l="1"/>
  <c r="G54" i="7"/>
  <c r="AL41" i="15"/>
  <c r="AL40" i="15"/>
  <c r="K32" i="8"/>
  <c r="N32" i="8" s="1"/>
  <c r="G53" i="7" l="1"/>
  <c r="G52" i="7" l="1"/>
  <c r="F44" i="46" l="1"/>
  <c r="G19" i="7" l="1"/>
  <c r="E88" i="7" l="1"/>
  <c r="Q70" i="8" l="1"/>
  <c r="D25" i="47" l="1"/>
  <c r="D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S34" i="15" l="1"/>
  <c r="O13" i="44"/>
  <c r="M34" i="15" l="1"/>
  <c r="G34" i="15"/>
  <c r="O13" i="64" l="1"/>
  <c r="M27" i="42"/>
  <c r="K141" i="8"/>
  <c r="H144" i="8"/>
  <c r="E144" i="8"/>
  <c r="K144" i="8" l="1"/>
  <c r="N141" i="8"/>
  <c r="N144" i="8" s="1"/>
  <c r="E11" i="47"/>
  <c r="D24" i="10"/>
  <c r="E11" i="46"/>
  <c r="G72" i="7" l="1"/>
  <c r="S51" i="15"/>
  <c r="P47" i="15"/>
  <c r="P35" i="15"/>
  <c r="N115" i="8"/>
  <c r="H115" i="8"/>
  <c r="E115" i="8"/>
  <c r="K46" i="8"/>
  <c r="N46" i="8" s="1"/>
  <c r="K40" i="8"/>
  <c r="N40" i="8" s="1"/>
  <c r="K38" i="8"/>
  <c r="N38" i="8" s="1"/>
  <c r="H34" i="8"/>
  <c r="E34" i="8"/>
  <c r="H137" i="8"/>
  <c r="E137" i="8"/>
  <c r="F11" i="14"/>
  <c r="C34" i="48" l="1"/>
  <c r="E44" i="47"/>
  <c r="D34" i="48" s="1"/>
  <c r="D45" i="47"/>
  <c r="C35" i="48" s="1"/>
  <c r="E45" i="47"/>
  <c r="D35" i="48" s="1"/>
  <c r="E41" i="47"/>
  <c r="D33" i="49" s="1"/>
  <c r="D41" i="47"/>
  <c r="C33" i="49" s="1"/>
  <c r="C31" i="48" s="1"/>
  <c r="E31" i="48" s="1"/>
  <c r="E33" i="42"/>
  <c r="F43" i="42"/>
  <c r="F25" i="42"/>
  <c r="F33" i="42" s="1"/>
  <c r="O20" i="64"/>
  <c r="F44" i="64"/>
  <c r="F45" i="47" s="1"/>
  <c r="E35" i="48" s="1"/>
  <c r="F43" i="64"/>
  <c r="D30" i="48" l="1"/>
  <c r="C30" i="48"/>
  <c r="F41" i="46"/>
  <c r="F41" i="47" s="1"/>
  <c r="AL16" i="15"/>
  <c r="AL17" i="15"/>
  <c r="AL18" i="15"/>
  <c r="AL19" i="15"/>
  <c r="AL20" i="15"/>
  <c r="AL51" i="15"/>
  <c r="AL52" i="15"/>
  <c r="AL53" i="15"/>
  <c r="AL54" i="15"/>
  <c r="AL55" i="15"/>
  <c r="AL56" i="15"/>
  <c r="AL30" i="15"/>
  <c r="E100" i="8"/>
  <c r="E30" i="48" l="1"/>
  <c r="E33" i="49"/>
  <c r="K66" i="8" l="1"/>
  <c r="K44" i="8"/>
  <c r="N44" i="8" s="1"/>
  <c r="K42" i="8"/>
  <c r="Q42" i="8" s="1"/>
  <c r="K31" i="8"/>
  <c r="E24" i="63"/>
  <c r="H24" i="63"/>
  <c r="I24" i="63"/>
  <c r="J24" i="63"/>
  <c r="G16" i="63"/>
  <c r="G17" i="63"/>
  <c r="G18" i="63"/>
  <c r="G19" i="63"/>
  <c r="G15" i="63"/>
  <c r="N66" i="8" l="1"/>
  <c r="N70" i="8" s="1"/>
  <c r="N31" i="8"/>
  <c r="E23" i="10"/>
  <c r="E15" i="10"/>
  <c r="G30" i="7"/>
  <c r="G50" i="7"/>
  <c r="G34" i="7"/>
  <c r="G49" i="7"/>
  <c r="G48" i="7"/>
  <c r="G47" i="7"/>
  <c r="D36" i="5" l="1"/>
  <c r="D38" i="5" l="1"/>
  <c r="D44" i="5"/>
  <c r="E19" i="48"/>
  <c r="F29" i="46"/>
  <c r="D19" i="48"/>
  <c r="E29" i="46"/>
  <c r="C19" i="48"/>
  <c r="D29" i="46"/>
  <c r="D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B44" i="42"/>
  <c r="B45" i="42" s="1"/>
  <c r="B46" i="42" s="1"/>
  <c r="B47" i="42" s="1"/>
  <c r="B48" i="42" s="1"/>
  <c r="B49" i="42" s="1"/>
  <c r="B50" i="42" s="1"/>
  <c r="B51" i="42" s="1"/>
  <c r="B52" i="42" s="1"/>
  <c r="B53" i="42" s="1"/>
  <c r="B54" i="42" s="1"/>
  <c r="B44" i="5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44" i="44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44" i="64"/>
  <c r="B45" i="64" s="1"/>
  <c r="B46" i="64" s="1"/>
  <c r="B47" i="64" s="1"/>
  <c r="B48" i="64" s="1"/>
  <c r="B49" i="64" s="1"/>
  <c r="B50" i="64" s="1"/>
  <c r="B51" i="64" s="1"/>
  <c r="B52" i="64" s="1"/>
  <c r="B53" i="64" s="1"/>
  <c r="B54" i="64" s="1"/>
  <c r="F15" i="14" l="1"/>
  <c r="G18" i="7" l="1"/>
  <c r="K41" i="8" l="1"/>
  <c r="H131" i="8"/>
  <c r="E131" i="8"/>
  <c r="N131" i="8"/>
  <c r="M27" i="64" s="1"/>
  <c r="N41" i="8" l="1"/>
  <c r="AL50" i="15"/>
  <c r="N137" i="8" l="1"/>
  <c r="G46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AI23" i="15"/>
  <c r="AI21" i="15"/>
  <c r="F28" i="63"/>
  <c r="E28" i="63"/>
  <c r="G22" i="63"/>
  <c r="F29" i="63" l="1"/>
  <c r="AF27" i="15"/>
  <c r="G13" i="63" l="1"/>
  <c r="E29" i="63"/>
  <c r="M14" i="46" s="1"/>
  <c r="C20" i="54" l="1"/>
  <c r="M10" i="46"/>
  <c r="M10" i="47" s="1"/>
  <c r="M11" i="46"/>
  <c r="N11" i="46"/>
  <c r="N12" i="46"/>
  <c r="M12" i="46"/>
  <c r="M12" i="47" s="1"/>
  <c r="AL14" i="15"/>
  <c r="AL10" i="15"/>
  <c r="AL11" i="15"/>
  <c r="AL13" i="15"/>
  <c r="AL27" i="15"/>
  <c r="K37" i="8"/>
  <c r="N37" i="8" s="1"/>
  <c r="K33" i="8"/>
  <c r="K34" i="8"/>
  <c r="N34" i="8" s="1"/>
  <c r="K35" i="8"/>
  <c r="K36" i="8"/>
  <c r="Q36" i="8" s="1"/>
  <c r="Q60" i="8" s="1"/>
  <c r="K96" i="8"/>
  <c r="Q96" i="8" s="1"/>
  <c r="Q100" i="8" s="1"/>
  <c r="N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O14" i="44"/>
  <c r="O14" i="64"/>
  <c r="O14" i="42"/>
  <c r="E34" i="48"/>
  <c r="H41" i="65"/>
  <c r="G41" i="65"/>
  <c r="F41" i="65"/>
  <c r="M27" i="44"/>
  <c r="M33" i="44" s="1"/>
  <c r="D49" i="44" s="1"/>
  <c r="M33" i="64"/>
  <c r="F20" i="42"/>
  <c r="M27" i="45"/>
  <c r="M33" i="45" s="1"/>
  <c r="D49" i="45" s="1"/>
  <c r="O53" i="64"/>
  <c r="N53" i="64"/>
  <c r="M53" i="64"/>
  <c r="E34" i="64"/>
  <c r="D34" i="64"/>
  <c r="M24" i="64"/>
  <c r="F20" i="64"/>
  <c r="F18" i="64"/>
  <c r="F16" i="64"/>
  <c r="F14" i="64"/>
  <c r="F13" i="64"/>
  <c r="O12" i="64"/>
  <c r="B12" i="64"/>
  <c r="B13" i="64"/>
  <c r="B14" i="64"/>
  <c r="B15" i="64" s="1"/>
  <c r="B16" i="64" s="1"/>
  <c r="B17" i="64" s="1"/>
  <c r="B18" i="64" s="1"/>
  <c r="B19" i="64" s="1"/>
  <c r="B20" i="64" s="1"/>
  <c r="B21" i="64" s="1"/>
  <c r="B22" i="64" s="1"/>
  <c r="B23" i="64" s="1"/>
  <c r="B24" i="64" s="1"/>
  <c r="B25" i="64" s="1"/>
  <c r="B26" i="64" s="1"/>
  <c r="B27" i="64" s="1"/>
  <c r="B28" i="64" s="1"/>
  <c r="B29" i="64" s="1"/>
  <c r="B30" i="64" s="1"/>
  <c r="B31" i="64" s="1"/>
  <c r="B32" i="64" s="1"/>
  <c r="B33" i="64" s="1"/>
  <c r="B34" i="64" s="1"/>
  <c r="B35" i="64" s="1"/>
  <c r="B36" i="64" s="1"/>
  <c r="B37" i="64" s="1"/>
  <c r="B38" i="64" s="1"/>
  <c r="B39" i="64" s="1"/>
  <c r="B40" i="64" s="1"/>
  <c r="B41" i="64" s="1"/>
  <c r="B42" i="64" s="1"/>
  <c r="B43" i="64" s="1"/>
  <c r="N27" i="51"/>
  <c r="N33" i="51" s="1"/>
  <c r="E24" i="46"/>
  <c r="D25" i="46"/>
  <c r="E25" i="46"/>
  <c r="D12" i="47"/>
  <c r="D51" i="47"/>
  <c r="C42" i="48" s="1"/>
  <c r="F29" i="13"/>
  <c r="E51" i="47"/>
  <c r="D42" i="48" s="1"/>
  <c r="P24" i="46"/>
  <c r="P35" i="46" s="1"/>
  <c r="M47" i="47"/>
  <c r="M54" i="47" s="1"/>
  <c r="N47" i="47"/>
  <c r="N54" i="47" s="1"/>
  <c r="L19" i="48"/>
  <c r="M33" i="46"/>
  <c r="AI22" i="15"/>
  <c r="AL22" i="15" s="1"/>
  <c r="AL21" i="15"/>
  <c r="AI15" i="15"/>
  <c r="AI25" i="15"/>
  <c r="AL25" i="15" s="1"/>
  <c r="E30" i="13"/>
  <c r="K30" i="13" s="1"/>
  <c r="E29" i="13"/>
  <c r="K29" i="13" s="1"/>
  <c r="E28" i="13"/>
  <c r="K28" i="13" s="1"/>
  <c r="E11" i="13"/>
  <c r="K11" i="13" s="1"/>
  <c r="G28" i="7"/>
  <c r="E14" i="18"/>
  <c r="E17" i="18" s="1"/>
  <c r="F13" i="18"/>
  <c r="F25" i="14"/>
  <c r="G17" i="7"/>
  <c r="AL23" i="15"/>
  <c r="G21" i="63"/>
  <c r="G27" i="63"/>
  <c r="G28" i="63" s="1"/>
  <c r="G14" i="63"/>
  <c r="K79" i="13"/>
  <c r="K78" i="13"/>
  <c r="D80" i="13"/>
  <c r="E20" i="45" s="1"/>
  <c r="E32" i="45" s="1"/>
  <c r="E34" i="45" s="1"/>
  <c r="K76" i="13"/>
  <c r="K77" i="13"/>
  <c r="E37" i="5"/>
  <c r="E26" i="5"/>
  <c r="E25" i="5" s="1"/>
  <c r="K78" i="8"/>
  <c r="E21" i="10"/>
  <c r="G33" i="7"/>
  <c r="N21" i="47"/>
  <c r="M20" i="48" s="1"/>
  <c r="N10" i="46"/>
  <c r="N10" i="47" s="1"/>
  <c r="M10" i="48" s="1"/>
  <c r="E13" i="14"/>
  <c r="D18" i="47"/>
  <c r="F12" i="6"/>
  <c r="G12" i="7"/>
  <c r="G13" i="7"/>
  <c r="K24" i="13"/>
  <c r="H23" i="13"/>
  <c r="K23" i="13" s="1"/>
  <c r="G22" i="13"/>
  <c r="K22" i="13" s="1"/>
  <c r="G19" i="13"/>
  <c r="K19" i="13" s="1"/>
  <c r="D25" i="10"/>
  <c r="D33" i="10" s="1"/>
  <c r="K79" i="8"/>
  <c r="Q79" i="8" s="1"/>
  <c r="N83" i="8"/>
  <c r="K134" i="8"/>
  <c r="G44" i="7"/>
  <c r="G43" i="7"/>
  <c r="E26" i="46"/>
  <c r="E26" i="47" s="1"/>
  <c r="D19" i="49" s="1"/>
  <c r="F26" i="46"/>
  <c r="F13" i="6"/>
  <c r="E18" i="5"/>
  <c r="AL48" i="15"/>
  <c r="AL46" i="15"/>
  <c r="AL42" i="15"/>
  <c r="AL39" i="15"/>
  <c r="AL34" i="15"/>
  <c r="AL33" i="15"/>
  <c r="AL31" i="15"/>
  <c r="AL28" i="15"/>
  <c r="AL29" i="15"/>
  <c r="I40" i="13"/>
  <c r="J40" i="13"/>
  <c r="E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O47" i="46"/>
  <c r="O47" i="47" s="1"/>
  <c r="O41" i="24" s="1"/>
  <c r="C41" i="24" s="1"/>
  <c r="F43" i="45"/>
  <c r="F43" i="51"/>
  <c r="F43" i="44"/>
  <c r="K113" i="8"/>
  <c r="Q115" i="8" s="1"/>
  <c r="D72" i="5"/>
  <c r="C71" i="5"/>
  <c r="E17" i="5"/>
  <c r="M21" i="47"/>
  <c r="L20" i="48" s="1"/>
  <c r="C24" i="10"/>
  <c r="M20" i="46" s="1"/>
  <c r="E30" i="10"/>
  <c r="M27" i="51"/>
  <c r="M33" i="51" s="1"/>
  <c r="AL45" i="15"/>
  <c r="E22" i="10"/>
  <c r="E14" i="10"/>
  <c r="E18" i="10" s="1"/>
  <c r="E83" i="8"/>
  <c r="G42" i="7"/>
  <c r="G41" i="7"/>
  <c r="D54" i="5"/>
  <c r="C54" i="5"/>
  <c r="E13" i="5"/>
  <c r="E14" i="5"/>
  <c r="E15" i="5"/>
  <c r="E12" i="5"/>
  <c r="E29" i="5"/>
  <c r="E28" i="5"/>
  <c r="E27" i="5"/>
  <c r="E73" i="7"/>
  <c r="I71" i="56"/>
  <c r="H71" i="56"/>
  <c r="G71" i="56"/>
  <c r="F71" i="56"/>
  <c r="E71" i="56"/>
  <c r="G39" i="7"/>
  <c r="N75" i="8"/>
  <c r="H75" i="8"/>
  <c r="K65" i="8"/>
  <c r="G38" i="7"/>
  <c r="G37" i="7"/>
  <c r="G36" i="7"/>
  <c r="E16" i="6"/>
  <c r="D16" i="6"/>
  <c r="C19" i="49"/>
  <c r="C20" i="49"/>
  <c r="O12" i="24"/>
  <c r="O13" i="24"/>
  <c r="O18" i="24"/>
  <c r="O20" i="24"/>
  <c r="B12" i="42"/>
  <c r="B13" i="42" s="1"/>
  <c r="B14" i="42" s="1"/>
  <c r="B15" i="42" s="1"/>
  <c r="B16" i="42" s="1"/>
  <c r="B17" i="42" s="1"/>
  <c r="B18" i="42" s="1"/>
  <c r="B19" i="42" s="1"/>
  <c r="B20" i="42" s="1"/>
  <c r="B21" i="42" s="1"/>
  <c r="B22" i="42" s="1"/>
  <c r="B23" i="42" s="1"/>
  <c r="B24" i="42" s="1"/>
  <c r="B25" i="42" s="1"/>
  <c r="B26" i="42" s="1"/>
  <c r="B27" i="42" s="1"/>
  <c r="B28" i="42" s="1"/>
  <c r="B29" i="42" s="1"/>
  <c r="B30" i="42" s="1"/>
  <c r="B31" i="42" s="1"/>
  <c r="B32" i="42" s="1"/>
  <c r="B33" i="42" s="1"/>
  <c r="B34" i="42" s="1"/>
  <c r="B35" i="42" s="1"/>
  <c r="B36" i="42" s="1"/>
  <c r="B37" i="42" s="1"/>
  <c r="B38" i="42" s="1"/>
  <c r="B39" i="42" s="1"/>
  <c r="B40" i="42" s="1"/>
  <c r="B41" i="42" s="1"/>
  <c r="B42" i="42" s="1"/>
  <c r="B43" i="42" s="1"/>
  <c r="O12" i="42"/>
  <c r="O13" i="42"/>
  <c r="M24" i="42"/>
  <c r="M53" i="42"/>
  <c r="N53" i="42"/>
  <c r="O53" i="42"/>
  <c r="B12" i="5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F12" i="51"/>
  <c r="F13" i="51"/>
  <c r="O13" i="51"/>
  <c r="F14" i="51"/>
  <c r="O14" i="51"/>
  <c r="F16" i="51"/>
  <c r="F18" i="51"/>
  <c r="F20" i="51"/>
  <c r="N24" i="51"/>
  <c r="D32" i="51"/>
  <c r="D34" i="51"/>
  <c r="F34" i="51" s="1"/>
  <c r="E32" i="51"/>
  <c r="E34" i="51" s="1"/>
  <c r="N53" i="51"/>
  <c r="O53" i="51"/>
  <c r="B12" i="44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F12" i="44"/>
  <c r="O12" i="44"/>
  <c r="F13" i="44"/>
  <c r="F16" i="44"/>
  <c r="F18" i="44"/>
  <c r="F20" i="44"/>
  <c r="N24" i="44"/>
  <c r="M53" i="44"/>
  <c r="N53" i="44"/>
  <c r="O53" i="44"/>
  <c r="N16" i="45"/>
  <c r="N24" i="45" s="1"/>
  <c r="E48" i="45" s="1"/>
  <c r="G12" i="18"/>
  <c r="G14" i="18" s="1"/>
  <c r="G17" i="18" s="1"/>
  <c r="O14" i="45"/>
  <c r="AL47" i="15"/>
  <c r="AL38" i="15"/>
  <c r="AL32" i="15"/>
  <c r="AL35" i="15"/>
  <c r="AL44" i="15"/>
  <c r="AL43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M53" i="45"/>
  <c r="N53" i="45"/>
  <c r="O53" i="45"/>
  <c r="B10" i="46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F42" i="46"/>
  <c r="F51" i="46"/>
  <c r="K75" i="8"/>
  <c r="E75" i="8"/>
  <c r="Q75" i="8"/>
  <c r="K94" i="8"/>
  <c r="K105" i="8"/>
  <c r="N27" i="44"/>
  <c r="N33" i="44" s="1"/>
  <c r="E49" i="44" s="1"/>
  <c r="G15" i="7"/>
  <c r="G16" i="7"/>
  <c r="G29" i="7"/>
  <c r="G35" i="7"/>
  <c r="F14" i="6"/>
  <c r="F37" i="6"/>
  <c r="F38" i="6" s="1"/>
  <c r="D38" i="6"/>
  <c r="E38" i="6"/>
  <c r="E10" i="5"/>
  <c r="E13" i="46"/>
  <c r="E66" i="5"/>
  <c r="E67" i="5"/>
  <c r="E68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L44" i="49"/>
  <c r="M44" i="49"/>
  <c r="N44" i="49"/>
  <c r="E10" i="48"/>
  <c r="E32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E42" i="47"/>
  <c r="F42" i="47" s="1"/>
  <c r="O12" i="45"/>
  <c r="M53" i="51"/>
  <c r="M33" i="42"/>
  <c r="D49" i="42" s="1"/>
  <c r="K80" i="13"/>
  <c r="M24" i="44"/>
  <c r="M24" i="51"/>
  <c r="D48" i="51" s="1"/>
  <c r="O12" i="51"/>
  <c r="N24" i="64"/>
  <c r="N24" i="42"/>
  <c r="E24" i="10"/>
  <c r="K126" i="8"/>
  <c r="K131" i="8" s="1"/>
  <c r="O27" i="64" s="1"/>
  <c r="E89" i="58"/>
  <c r="F89" i="58"/>
  <c r="O13" i="45"/>
  <c r="P55" i="46" l="1"/>
  <c r="K60" i="8"/>
  <c r="E89" i="7"/>
  <c r="G25" i="7"/>
  <c r="D17" i="49"/>
  <c r="C42" i="24"/>
  <c r="D41" i="24"/>
  <c r="E40" i="6"/>
  <c r="E48" i="6" s="1"/>
  <c r="E38" i="5"/>
  <c r="G29" i="63"/>
  <c r="F28" i="14"/>
  <c r="F32" i="64"/>
  <c r="N35" i="8"/>
  <c r="K100" i="8"/>
  <c r="E13" i="47"/>
  <c r="D74" i="5"/>
  <c r="E32" i="10"/>
  <c r="O21" i="46" s="1"/>
  <c r="K137" i="8"/>
  <c r="Q134" i="8"/>
  <c r="N27" i="42" s="1"/>
  <c r="F25" i="47"/>
  <c r="E17" i="49" s="1"/>
  <c r="F24" i="46"/>
  <c r="D14" i="42"/>
  <c r="D32" i="42" s="1"/>
  <c r="D34" i="42" s="1"/>
  <c r="C74" i="5"/>
  <c r="D13" i="47"/>
  <c r="E11" i="5"/>
  <c r="E108" i="8"/>
  <c r="E75" i="7"/>
  <c r="E91" i="7" s="1"/>
  <c r="C17" i="49"/>
  <c r="D30" i="47"/>
  <c r="D26" i="46"/>
  <c r="D30" i="46"/>
  <c r="D11" i="46"/>
  <c r="D11" i="47"/>
  <c r="C11" i="48" s="1"/>
  <c r="F44" i="47"/>
  <c r="N94" i="8"/>
  <c r="E48" i="64"/>
  <c r="D48" i="64"/>
  <c r="F34" i="64"/>
  <c r="F30" i="47"/>
  <c r="E30" i="47"/>
  <c r="D22" i="49" s="1"/>
  <c r="C55" i="5"/>
  <c r="D14" i="44"/>
  <c r="D55" i="5"/>
  <c r="D77" i="5" s="1"/>
  <c r="E14" i="44"/>
  <c r="E32" i="44" s="1"/>
  <c r="D11" i="48"/>
  <c r="O24" i="42"/>
  <c r="O24" i="51"/>
  <c r="F48" i="51" s="1"/>
  <c r="N34" i="51"/>
  <c r="N54" i="51" s="1"/>
  <c r="N33" i="8"/>
  <c r="N20" i="46"/>
  <c r="N20" i="47" s="1"/>
  <c r="M19" i="48" s="1"/>
  <c r="C25" i="10"/>
  <c r="F30" i="46"/>
  <c r="E30" i="46"/>
  <c r="E34" i="46" s="1"/>
  <c r="F25" i="46"/>
  <c r="F16" i="6"/>
  <c r="E36" i="5"/>
  <c r="E54" i="5"/>
  <c r="E55" i="5" s="1"/>
  <c r="H21" i="13"/>
  <c r="H40" i="13" s="1"/>
  <c r="E20" i="47"/>
  <c r="D16" i="48" s="1"/>
  <c r="M37" i="48"/>
  <c r="M44" i="48" s="1"/>
  <c r="E24" i="47"/>
  <c r="F26" i="47"/>
  <c r="E19" i="49" s="1"/>
  <c r="F51" i="47"/>
  <c r="E42" i="48" s="1"/>
  <c r="M17" i="46"/>
  <c r="K64" i="8"/>
  <c r="K70" i="8" s="1"/>
  <c r="M18" i="46"/>
  <c r="C12" i="48"/>
  <c r="L37" i="48"/>
  <c r="L44" i="48" s="1"/>
  <c r="E54" i="47"/>
  <c r="AL15" i="15"/>
  <c r="D54" i="47"/>
  <c r="O24" i="64"/>
  <c r="M34" i="64"/>
  <c r="M54" i="64" s="1"/>
  <c r="M34" i="42"/>
  <c r="M54" i="42" s="1"/>
  <c r="H83" i="8"/>
  <c r="H108" i="8" s="1"/>
  <c r="N28" i="47"/>
  <c r="M15" i="49" s="1"/>
  <c r="N28" i="46"/>
  <c r="Q126" i="8"/>
  <c r="Q131" i="8" s="1"/>
  <c r="N27" i="64" s="1"/>
  <c r="K112" i="8"/>
  <c r="O27" i="44"/>
  <c r="O33" i="44" s="1"/>
  <c r="F49" i="44" s="1"/>
  <c r="M19" i="47"/>
  <c r="L18" i="48" s="1"/>
  <c r="O19" i="47"/>
  <c r="N19" i="47"/>
  <c r="M18" i="48" s="1"/>
  <c r="O24" i="44"/>
  <c r="D49" i="64"/>
  <c r="M34" i="44"/>
  <c r="M54" i="44" s="1"/>
  <c r="N34" i="44"/>
  <c r="N54" i="44" s="1"/>
  <c r="O27" i="51"/>
  <c r="O33" i="51" s="1"/>
  <c r="F49" i="51" s="1"/>
  <c r="O10" i="47"/>
  <c r="N10" i="48" s="1"/>
  <c r="O21" i="47"/>
  <c r="N20" i="48" s="1"/>
  <c r="G21" i="13"/>
  <c r="G73" i="7"/>
  <c r="G89" i="7" s="1"/>
  <c r="N18" i="46"/>
  <c r="N12" i="47"/>
  <c r="M12" i="48" s="1"/>
  <c r="O12" i="46"/>
  <c r="O10" i="46"/>
  <c r="N14" i="46"/>
  <c r="E14" i="42"/>
  <c r="E32" i="42" s="1"/>
  <c r="E71" i="5"/>
  <c r="C72" i="5"/>
  <c r="F32" i="51"/>
  <c r="L10" i="48"/>
  <c r="M30" i="47"/>
  <c r="M30" i="46"/>
  <c r="O54" i="47"/>
  <c r="N37" i="48"/>
  <c r="N44" i="48" s="1"/>
  <c r="Q78" i="8"/>
  <c r="Q83" i="8" s="1"/>
  <c r="K83" i="8"/>
  <c r="M11" i="47"/>
  <c r="O11" i="46"/>
  <c r="N30" i="47"/>
  <c r="M17" i="49" s="1"/>
  <c r="N30" i="46"/>
  <c r="AL26" i="15"/>
  <c r="M33" i="47"/>
  <c r="L20" i="49" s="1"/>
  <c r="D11" i="49"/>
  <c r="D49" i="51"/>
  <c r="M34" i="51"/>
  <c r="M54" i="51" s="1"/>
  <c r="E30" i="14"/>
  <c r="E17" i="46" s="1"/>
  <c r="E33" i="46" s="1"/>
  <c r="F26" i="13"/>
  <c r="F40" i="13" s="1"/>
  <c r="E17" i="47" s="1"/>
  <c r="L12" i="48"/>
  <c r="D12" i="48"/>
  <c r="F20" i="46"/>
  <c r="D20" i="47"/>
  <c r="F20" i="45"/>
  <c r="F32" i="45" s="1"/>
  <c r="F34" i="45" s="1"/>
  <c r="D32" i="45"/>
  <c r="D34" i="45" s="1"/>
  <c r="D30" i="14"/>
  <c r="E26" i="13"/>
  <c r="F13" i="14"/>
  <c r="E48" i="51"/>
  <c r="E53" i="51" s="1"/>
  <c r="E54" i="51" s="1"/>
  <c r="F12" i="47"/>
  <c r="E12" i="48" s="1"/>
  <c r="N33" i="47"/>
  <c r="M20" i="49" s="1"/>
  <c r="N33" i="46"/>
  <c r="N11" i="47"/>
  <c r="N60" i="8" l="1"/>
  <c r="M27" i="46" s="1"/>
  <c r="M18" i="47"/>
  <c r="L17" i="48" s="1"/>
  <c r="N18" i="47"/>
  <c r="M17" i="48" s="1"/>
  <c r="E34" i="44"/>
  <c r="E48" i="44"/>
  <c r="E44" i="5"/>
  <c r="E41" i="24"/>
  <c r="D42" i="24"/>
  <c r="C22" i="49"/>
  <c r="D53" i="64"/>
  <c r="D54" i="64" s="1"/>
  <c r="E33" i="47"/>
  <c r="D48" i="42"/>
  <c r="D53" i="42" s="1"/>
  <c r="D54" i="42" s="1"/>
  <c r="C77" i="5"/>
  <c r="N32" i="47"/>
  <c r="M19" i="49" s="1"/>
  <c r="Q105" i="8"/>
  <c r="N31" i="46" s="1"/>
  <c r="N100" i="8"/>
  <c r="M32" i="46" s="1"/>
  <c r="M32" i="47" s="1"/>
  <c r="Q137" i="8"/>
  <c r="O27" i="42"/>
  <c r="O33" i="42" s="1"/>
  <c r="F49" i="42" s="1"/>
  <c r="F24" i="47"/>
  <c r="E34" i="47"/>
  <c r="E72" i="5"/>
  <c r="M17" i="47"/>
  <c r="L16" i="48" s="1"/>
  <c r="G75" i="7"/>
  <c r="G91" i="7" s="1"/>
  <c r="G88" i="7"/>
  <c r="F40" i="6"/>
  <c r="F11" i="46"/>
  <c r="F11" i="47"/>
  <c r="E11" i="48" s="1"/>
  <c r="N18" i="48"/>
  <c r="O29" i="24"/>
  <c r="M50" i="46"/>
  <c r="N27" i="46"/>
  <c r="N27" i="45"/>
  <c r="O27" i="45" s="1"/>
  <c r="O33" i="45" s="1"/>
  <c r="F49" i="45" s="1"/>
  <c r="K115" i="8"/>
  <c r="K150" i="8" s="1"/>
  <c r="F48" i="64"/>
  <c r="D32" i="44"/>
  <c r="F14" i="44"/>
  <c r="F32" i="44" s="1"/>
  <c r="F48" i="44" s="1"/>
  <c r="E35" i="46"/>
  <c r="E55" i="46" s="1"/>
  <c r="E34" i="42"/>
  <c r="F34" i="42" s="1"/>
  <c r="E48" i="42"/>
  <c r="D14" i="48"/>
  <c r="F53" i="51"/>
  <c r="F54" i="51" s="1"/>
  <c r="K108" i="8"/>
  <c r="O20" i="47"/>
  <c r="N19" i="48" s="1"/>
  <c r="O20" i="46"/>
  <c r="C33" i="10"/>
  <c r="E25" i="10"/>
  <c r="E33" i="10" s="1"/>
  <c r="K21" i="13"/>
  <c r="D13" i="48"/>
  <c r="D16" i="49"/>
  <c r="F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H150" i="8"/>
  <c r="M24" i="46"/>
  <c r="S24" i="46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M28" i="47"/>
  <c r="N33" i="64"/>
  <c r="O34" i="44"/>
  <c r="O54" i="44" s="1"/>
  <c r="O30" i="46"/>
  <c r="O34" i="51"/>
  <c r="O54" i="51" s="1"/>
  <c r="G40" i="13"/>
  <c r="O18" i="46"/>
  <c r="O12" i="47"/>
  <c r="O27" i="24" s="1"/>
  <c r="C27" i="24" s="1"/>
  <c r="D27" i="24" s="1"/>
  <c r="M24" i="45"/>
  <c r="D48" i="45" s="1"/>
  <c r="O16" i="45"/>
  <c r="O24" i="45" s="1"/>
  <c r="N14" i="47"/>
  <c r="M14" i="48" s="1"/>
  <c r="F14" i="42"/>
  <c r="F32" i="42" s="1"/>
  <c r="F48" i="42" s="1"/>
  <c r="C16" i="48"/>
  <c r="F20" i="47"/>
  <c r="D53" i="51"/>
  <c r="D54" i="51" s="1"/>
  <c r="D17" i="46"/>
  <c r="D33" i="46" s="1"/>
  <c r="F30" i="14"/>
  <c r="F17" i="46" s="1"/>
  <c r="O14" i="46"/>
  <c r="M14" i="47"/>
  <c r="L14" i="48" s="1"/>
  <c r="L11" i="48"/>
  <c r="O11" i="47"/>
  <c r="L17" i="49"/>
  <c r="N17" i="49" s="1"/>
  <c r="O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M11" i="48"/>
  <c r="O17" i="24"/>
  <c r="C17" i="24" s="1"/>
  <c r="D17" i="24" s="1"/>
  <c r="E22" i="49"/>
  <c r="O17" i="46"/>
  <c r="O17" i="47" s="1"/>
  <c r="O33" i="46"/>
  <c r="O33" i="47"/>
  <c r="C13" i="48"/>
  <c r="O18" i="47" l="1"/>
  <c r="N17" i="48" s="1"/>
  <c r="E17" i="24"/>
  <c r="D19" i="24"/>
  <c r="D34" i="44"/>
  <c r="F34" i="44" s="1"/>
  <c r="F53" i="44" s="1"/>
  <c r="F54" i="44" s="1"/>
  <c r="D48" i="44"/>
  <c r="E53" i="44"/>
  <c r="E54" i="44" s="1"/>
  <c r="F41" i="24"/>
  <c r="E42" i="24"/>
  <c r="E27" i="24"/>
  <c r="D16" i="46"/>
  <c r="F16" i="46" s="1"/>
  <c r="F34" i="46" s="1"/>
  <c r="D48" i="6"/>
  <c r="E77" i="5"/>
  <c r="Q150" i="8"/>
  <c r="E16" i="49"/>
  <c r="F13" i="46"/>
  <c r="F33" i="46" s="1"/>
  <c r="F13" i="47"/>
  <c r="E74" i="5"/>
  <c r="Q108" i="8"/>
  <c r="L19" i="49"/>
  <c r="O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O32" i="46"/>
  <c r="N108" i="8"/>
  <c r="N31" i="47"/>
  <c r="M18" i="49" s="1"/>
  <c r="O31" i="46"/>
  <c r="O31" i="47" s="1"/>
  <c r="N18" i="49" s="1"/>
  <c r="N33" i="42"/>
  <c r="O34" i="42"/>
  <c r="O54" i="42" s="1"/>
  <c r="F53" i="42"/>
  <c r="F54" i="42" s="1"/>
  <c r="O15" i="24"/>
  <c r="O19" i="24" s="1"/>
  <c r="D25" i="49"/>
  <c r="D26" i="49" s="1"/>
  <c r="F48" i="6"/>
  <c r="M34" i="45"/>
  <c r="M54" i="45" s="1"/>
  <c r="D53" i="45"/>
  <c r="D54" i="45" s="1"/>
  <c r="D22" i="48"/>
  <c r="D24" i="48" s="1"/>
  <c r="O27" i="46"/>
  <c r="N33" i="45"/>
  <c r="N34" i="45" s="1"/>
  <c r="N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D53" i="44"/>
  <c r="E35" i="47"/>
  <c r="E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N49" i="46"/>
  <c r="M28" i="46"/>
  <c r="O28" i="46" s="1"/>
  <c r="O33" i="64"/>
  <c r="O34" i="64" s="1"/>
  <c r="O54" i="64" s="1"/>
  <c r="L15" i="49"/>
  <c r="N15" i="49" s="1"/>
  <c r="O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N27" i="47"/>
  <c r="M14" i="49" s="1"/>
  <c r="N150" i="8"/>
  <c r="N34" i="46"/>
  <c r="O34" i="45"/>
  <c r="O54" i="45" s="1"/>
  <c r="K40" i="13"/>
  <c r="N12" i="48"/>
  <c r="F48" i="45"/>
  <c r="F53" i="45" s="1"/>
  <c r="F54" i="45" s="1"/>
  <c r="O14" i="47"/>
  <c r="L22" i="48"/>
  <c r="L24" i="48" s="1"/>
  <c r="M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N20" i="49"/>
  <c r="D17" i="47"/>
  <c r="D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N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O24" i="46"/>
  <c r="N34" i="64"/>
  <c r="N54" i="64" s="1"/>
  <c r="E49" i="64"/>
  <c r="E53" i="64" s="1"/>
  <c r="E54" i="64" s="1"/>
  <c r="N16" i="48"/>
  <c r="O30" i="24"/>
  <c r="C19" i="24"/>
  <c r="O31" i="24" l="1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D54" i="44"/>
  <c r="G41" i="24"/>
  <c r="F42" i="24"/>
  <c r="F27" i="24"/>
  <c r="D16" i="47"/>
  <c r="D34" i="46"/>
  <c r="D35" i="46" s="1"/>
  <c r="D55" i="46" s="1"/>
  <c r="E13" i="48"/>
  <c r="N19" i="49"/>
  <c r="M21" i="49"/>
  <c r="M26" i="49" s="1"/>
  <c r="M45" i="49" s="1"/>
  <c r="E49" i="42"/>
  <c r="E53" i="42" s="1"/>
  <c r="E54" i="42" s="1"/>
  <c r="N34" i="42"/>
  <c r="N54" i="42" s="1"/>
  <c r="N14" i="48"/>
  <c r="N22" i="48" s="1"/>
  <c r="N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L45" i="48"/>
  <c r="E49" i="45"/>
  <c r="E53" i="45" s="1"/>
  <c r="E54" i="45" s="1"/>
  <c r="M27" i="47"/>
  <c r="L14" i="49" s="1"/>
  <c r="L21" i="49" s="1"/>
  <c r="L26" i="49" s="1"/>
  <c r="O34" i="46"/>
  <c r="O35" i="46" s="1"/>
  <c r="O9" i="24"/>
  <c r="C9" i="24" s="1"/>
  <c r="D9" i="24" s="1"/>
  <c r="M34" i="46"/>
  <c r="M35" i="46" s="1"/>
  <c r="F49" i="64"/>
  <c r="F53" i="64" s="1"/>
  <c r="F54" i="64" s="1"/>
  <c r="N34" i="47"/>
  <c r="M49" i="46"/>
  <c r="M54" i="46" s="1"/>
  <c r="O24" i="47"/>
  <c r="F17" i="47"/>
  <c r="F33" i="47" s="1"/>
  <c r="C14" i="48"/>
  <c r="C22" i="48" s="1"/>
  <c r="C24" i="48" s="1"/>
  <c r="C26" i="48" s="1"/>
  <c r="G17" i="24" l="1"/>
  <c r="F19" i="24"/>
  <c r="H41" i="24"/>
  <c r="G42" i="24"/>
  <c r="E33" i="24"/>
  <c r="D33" i="24"/>
  <c r="G27" i="24"/>
  <c r="F33" i="24"/>
  <c r="E9" i="24"/>
  <c r="C13" i="49"/>
  <c r="C25" i="49" s="1"/>
  <c r="D34" i="47"/>
  <c r="D35" i="47" s="1"/>
  <c r="F35" i="47" s="1"/>
  <c r="F55" i="47" s="1"/>
  <c r="F16" i="47"/>
  <c r="D28" i="49"/>
  <c r="D36" i="49" s="1"/>
  <c r="D44" i="49" s="1"/>
  <c r="D45" i="49" s="1"/>
  <c r="D37" i="46"/>
  <c r="F35" i="46"/>
  <c r="F37" i="46" s="1"/>
  <c r="C11" i="49"/>
  <c r="N45" i="48"/>
  <c r="N50" i="46"/>
  <c r="N54" i="46" s="1"/>
  <c r="M34" i="47"/>
  <c r="M35" i="47" s="1"/>
  <c r="M55" i="47" s="1"/>
  <c r="O27" i="47"/>
  <c r="O34" i="24" s="1"/>
  <c r="M55" i="46"/>
  <c r="O50" i="46"/>
  <c r="O49" i="46"/>
  <c r="C33" i="24"/>
  <c r="O33" i="24"/>
  <c r="L45" i="49"/>
  <c r="E14" i="48"/>
  <c r="E22" i="48" s="1"/>
  <c r="E24" i="48" s="1"/>
  <c r="E26" i="48" s="1"/>
  <c r="O10" i="24"/>
  <c r="O54" i="46" l="1"/>
  <c r="H17" i="24"/>
  <c r="G19" i="24"/>
  <c r="C26" i="49"/>
  <c r="C28" i="49" s="1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F34" i="47"/>
  <c r="D55" i="47"/>
  <c r="F55" i="46"/>
  <c r="E11" i="49"/>
  <c r="N14" i="49"/>
  <c r="N21" i="49" s="1"/>
  <c r="N26" i="49" s="1"/>
  <c r="D37" i="47"/>
  <c r="O34" i="47"/>
  <c r="O35" i="47" s="1"/>
  <c r="F37" i="47" s="1"/>
  <c r="O55" i="46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N45" i="49"/>
  <c r="O55" i="47"/>
  <c r="F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91" i="7"/>
  <c r="N17" i="46"/>
  <c r="N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M16" i="48"/>
  <c r="M22" i="48" s="1"/>
  <c r="M24" i="48" s="1"/>
  <c r="N24" i="47"/>
  <c r="N35" i="47" s="1"/>
  <c r="N24" i="46"/>
  <c r="N35" i="46" l="1"/>
  <c r="T24" i="46"/>
  <c r="U24" i="46" s="1"/>
  <c r="N17" i="24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M45" i="48"/>
  <c r="D26" i="48"/>
  <c r="D36" i="48" s="1"/>
  <c r="D44" i="48" s="1"/>
  <c r="D45" i="48" s="1"/>
  <c r="AL49" i="15"/>
  <c r="N55" i="46"/>
  <c r="E37" i="46"/>
  <c r="E37" i="47"/>
  <c r="N55" i="47"/>
  <c r="E150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<sst xmlns="http://schemas.openxmlformats.org/spreadsheetml/2006/main" count="3299" uniqueCount="1426">
  <si>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</si>
  <si>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</si>
  <si>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</si>
  <si>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</si>
  <si>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</si>
  <si>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</si>
  <si>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</si>
  <si>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</si>
  <si>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</si>
  <si>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</si>
  <si>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</si>
  <si>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</si>
  <si>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</si>
  <si>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</si>
  <si>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</si>
  <si>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</si>
  <si>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</si>
  <si>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</si>
  <si>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</si>
  <si>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</si>
  <si>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</si>
  <si>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</si>
  <si>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</si>
  <si>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</si>
  <si>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</si>
  <si>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</si>
  <si>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</si>
  <si>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</si>
  <si>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</si>
  <si>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</si>
  <si>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</si>
  <si>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</si>
  <si>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</si>
  <si>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</si>
  <si>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</si>
  <si>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</si>
  <si>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</si>
  <si>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</si>
  <si>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</si>
  <si>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</si>
  <si>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</si>
  <si>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</si>
  <si>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</si>
  <si>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</si>
  <si>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</si>
  <si>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</si>
  <si>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</si>
  <si>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</si>
  <si>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</si>
  <si>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</si>
  <si>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</si>
  <si>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</si>
  <si>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</si>
  <si>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</si>
  <si>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</si>
  <si>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</si>
  <si>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</si>
  <si>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</si>
  <si>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</si>
  <si>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</si>
  <si>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</si>
  <si>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</si>
  <si>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</si>
  <si>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</si>
  <si>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</si>
  <si>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</si>
  <si>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</si>
  <si>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</si>
  <si>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</si>
  <si>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</si>
  <si>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</si>
  <si>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</si>
  <si>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</si>
  <si>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</si>
  <si>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</si>
  <si>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</si>
  <si>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</si>
  <si>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</si>
  <si>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</si>
  <si>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</si>
  <si>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</si>
  <si>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</si>
  <si>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</si>
  <si>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</si>
  <si>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</si>
  <si>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</si>
  <si>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</si>
  <si>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</si>
  <si>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</si>
  <si>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</si>
  <si>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</si>
  <si>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</si>
  <si>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</si>
  <si>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</si>
  <si>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</si>
  <si>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</si>
  <si>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</si>
  <si>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</si>
  <si>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</si>
  <si>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</si>
  <si>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</si>
  <si>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</si>
  <si>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</si>
  <si>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</si>
  <si>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</si>
  <si>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</si>
  <si>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</si>
  <si>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</si>
  <si>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</si>
  <si>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</si>
  <si>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</si>
  <si>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</si>
  <si>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</si>
  <si>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</si>
  <si>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</si>
  <si>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</si>
  <si>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</si>
  <si>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</si>
  <si>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</si>
  <si>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</si>
  <si>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</si>
  <si>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</si>
  <si>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</si>
  <si>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</si>
  <si>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</si>
  <si>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</si>
  <si>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</si>
  <si>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</si>
  <si>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</si>
  <si>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</si>
  <si>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</si>
  <si>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</si>
  <si>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</si>
  <si>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</si>
  <si>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</si>
  <si>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</si>
  <si>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</si>
  <si>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</si>
  <si>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</si>
  <si>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</si>
  <si>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</si>
  <si>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</si>
  <si>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</si>
  <si>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</si>
  <si>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</si>
  <si>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</si>
  <si>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</si>
  <si>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</si>
  <si>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</si>
  <si>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</si>
  <si>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</si>
  <si>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</si>
  <si>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</si>
  <si>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</si>
  <si>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</si>
  <si>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</si>
  <si>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</si>
  <si>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</si>
  <si>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</si>
  <si>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</si>
  <si>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</si>
  <si>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</si>
  <si>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</si>
  <si>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</si>
  <si>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</si>
  <si>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</si>
  <si>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</si>
  <si>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</si>
  <si>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</si>
  <si>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</si>
  <si>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</si>
  <si>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</si>
  <si>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</si>
  <si>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</si>
  <si>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</si>
  <si>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</si>
  <si>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</si>
  <si>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</si>
  <si>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</si>
  <si>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</si>
  <si>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</si>
  <si>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</si>
  <si>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</si>
  <si>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</si>
  <si>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</si>
  <si>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</si>
  <si>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</si>
  <si>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</si>
  <si>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</si>
  <si>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</si>
  <si>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</si>
  <si>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</si>
  <si>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</si>
  <si>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</si>
  <si>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</si>
  <si>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</si>
  <si>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</si>
  <si>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</si>
  <si>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</si>
  <si>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</si>
  <si>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</si>
  <si>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</si>
  <si>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</si>
  <si>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</si>
  <si>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</si>
  <si>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</si>
  <si>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</si>
  <si>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</si>
  <si>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</si>
  <si>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</si>
  <si>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</si>
  <si>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</si>
  <si>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</si>
  <si>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</si>
  <si>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</si>
  <si>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</si>
  <si>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</si>
  <si>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</si>
  <si>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</si>
  <si>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</si>
  <si>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</si>
  <si>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</si>
  <si>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</si>
  <si>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</si>
  <si>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</si>
  <si>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</si>
  <si>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</si>
  <si>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</si>
  <si>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</si>
  <si>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</si>
  <si>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</si>
  <si>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</si>
  <si>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</si>
  <si>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</si>
  <si>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</si>
  <si>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</si>
  <si>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</si>
  <si>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</si>
  <si>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</si>
  <si>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</si>
  <si>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</si>
  <si>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</si>
  <si>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</si>
  <si>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</si>
  <si>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</si>
  <si>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</si>
  <si>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</si>
  <si>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</si>
  <si>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</si>
  <si>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</si>
  <si>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</si>
  <si>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</si>
  <si>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</si>
  <si>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</si>
  <si>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</si>
  <si>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</si>
  <si>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</si>
  <si>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</si>
  <si>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</si>
  <si>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</si>
  <si>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</si>
  <si>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</si>
  <si>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</si>
  <si>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</si>
  <si>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</si>
  <si>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</si>
  <si>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</si>
  <si>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</si>
  <si>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</si>
  <si>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</si>
  <si>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</si>
  <si>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</si>
  <si>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</si>
  <si>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</si>
  <si>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</si>
  <si>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</si>
  <si>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</si>
  <si>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</si>
  <si>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</si>
  <si>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</si>
  <si>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</si>
  <si>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</si>
  <si>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</si>
  <si>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</si>
  <si>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</si>
  <si>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</si>
  <si>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</si>
  <si>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</si>
  <si>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</si>
  <si>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</si>
  <si>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</si>
  <si>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</si>
  <si>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</si>
  <si>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</si>
  <si>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</si>
  <si>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</si>
  <si>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</si>
  <si>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</si>
  <si>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</si>
  <si>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</si>
  <si>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</si>
  <si>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</si>
  <si>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</si>
  <si>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</si>
  <si>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</si>
  <si>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</si>
  <si>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</si>
  <si>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</si>
  <si>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</si>
  <si>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</si>
  <si>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</si>
  <si>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</si>
  <si>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</si>
  <si>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</si>
  <si>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</si>
  <si>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</si>
  <si>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</si>
  <si>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</si>
  <si>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</si>
  <si>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</si>
  <si>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</si>
  <si>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</si>
  <si>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</si>
  <si>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</si>
  <si>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</si>
  <si>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</si>
  <si>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</si>
  <si>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</si>
  <si>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</si>
  <si>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</si>
  <si>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</si>
  <si>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</si>
  <si>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</si>
  <si>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</si>
  <si>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</si>
  <si>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</si>
  <si>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</si>
  <si>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</si>
  <si>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</si>
  <si>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</si>
  <si>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</si>
  <si>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</si>
  <si>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</si>
  <si>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</si>
  <si>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</si>
  <si>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</si>
  <si>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</si>
  <si>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</si>
  <si>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</si>
  <si>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</si>
  <si>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</si>
  <si>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</si>
  <si>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</si>
  <si>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</si>
  <si>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</si>
  <si>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</si>
  <si>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</si>
  <si>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</si>
  <si>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</si>
  <si>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</si>
  <si>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</si>
  <si>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</si>
  <si>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</si>
  <si>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</si>
  <si>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</si>
  <si>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</si>
  <si>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</si>
  <si>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</si>
  <si>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</si>
  <si>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</si>
  <si>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</si>
  <si>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</si>
  <si>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</si>
  <si>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</si>
  <si>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</si>
  <si>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</si>
  <si>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</si>
  <si>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</si>
  <si>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</si>
  <si>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</si>
  <si>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</si>
  <si>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</si>
  <si>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</si>
  <si>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</si>
  <si>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</si>
  <si>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</si>
  <si>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</si>
  <si>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</si>
  <si>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</si>
  <si>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</si>
  <si>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</si>
  <si>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</si>
  <si>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</si>
  <si>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</si>
  <si>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</si>
  <si>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</si>
  <si>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</si>
  <si>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</si>
  <si>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</si>
  <si>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</si>
  <si>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</si>
  <si>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</si>
  <si>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</si>
  <si>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</si>
  <si>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</si>
  <si>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</si>
  <si>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</si>
  <si>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</si>
  <si>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</si>
  <si>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</si>
  <si>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</si>
  <si>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</si>
  <si>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</si>
  <si>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</si>
  <si>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</si>
  <si>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</si>
  <si>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</si>
  <si>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</si>
  <si>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</si>
  <si>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</si>
  <si>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</si>
  <si>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</si>
  <si>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</si>
  <si>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</si>
  <si>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</si>
  <si>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</si>
  <si>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</si>
  <si>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</si>
  <si>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</si>
  <si>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</si>
  <si>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</si>
  <si>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</si>
  <si>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</si>
  <si>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</si>
  <si>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</si>
  <si>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</si>
  <si>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</si>
  <si>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</si>
  <si>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</si>
  <si>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</si>
  <si>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</si>
  <si>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</si>
  <si>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</si>
  <si>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</si>
  <si>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</si>
  <si>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</si>
  <si>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</si>
  <si>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</si>
  <si>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</si>
  <si>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</si>
  <si>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</si>
  <si>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</si>
  <si>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</si>
  <si>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</si>
  <si>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</si>
  <si>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</si>
  <si>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</si>
  <si>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</si>
  <si>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</si>
  <si>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</si>
  <si>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</si>
  <si>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</si>
  <si>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</si>
  <si>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</si>
  <si>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</si>
  <si>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</si>
  <si>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</si>
  <si>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</si>
  <si>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</si>
  <si>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</si>
  <si>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</si>
  <si>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</si>
  <si>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</si>
  <si>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</si>
  <si>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</si>
  <si>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</si>
  <si>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</si>
  <si>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</si>
  <si>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</si>
  <si>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</si>
  <si>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</si>
  <si>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</si>
  <si>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</si>
  <si>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</si>
  <si>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</si>
  <si>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</si>
  <si>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</si>
  <si>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</si>
  <si>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</si>
  <si>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</si>
  <si>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</si>
  <si>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</si>
  <si>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</si>
  <si>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</si>
  <si>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</si>
  <si>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</si>
  <si>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</si>
  <si>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</si>
  <si>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</si>
  <si>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</si>
  <si>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</si>
  <si>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</si>
  <si>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</si>
  <si>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</si>
  <si>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</si>
  <si>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</si>
  <si>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</si>
  <si>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</si>
  <si>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</si>
  <si>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</si>
  <si>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</si>
  <si>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</si>
  <si>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</si>
  <si>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</si>
  <si>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</si>
  <si>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</si>
  <si>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</si>
  <si>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</si>
  <si>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</si>
  <si>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</si>
  <si>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</si>
  <si>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</si>
  <si>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</si>
  <si>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</si>
  <si>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</si>
  <si>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</si>
  <si>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</si>
  <si>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</si>
  <si>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</si>
  <si>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</si>
  <si>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</si>
  <si>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</si>
  <si>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</si>
  <si>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</si>
  <si>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</si>
  <si>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</si>
  <si>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</si>
  <si>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</si>
  <si>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</si>
  <si>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</si>
  <si>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</si>
  <si>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</si>
  <si>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</si>
  <si>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</si>
  <si>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</si>
  <si>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</si>
  <si>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</si>
  <si>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</si>
  <si>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</si>
  <si>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</si>
  <si>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</si>
  <si>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</si>
  <si>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</si>
  <si>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</si>
  <si>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</si>
  <si>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</si>
  <si>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</si>
  <si>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</si>
  <si>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</si>
  <si>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</si>
  <si>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</si>
  <si>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</si>
  <si>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</si>
  <si>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</si>
  <si>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</si>
  <si>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</si>
  <si>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</si>
  <si>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</si>
  <si>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</si>
  <si>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</si>
  <si>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</si>
  <si>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</si>
  <si>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</si>
  <si>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</si>
  <si>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</si>
  <si>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</si>
  <si>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</si>
  <si>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</si>
  <si>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</si>
  <si>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</si>
  <si>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</si>
  <si>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</si>
  <si>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</si>
  <si>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</si>
  <si>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</si>
  <si>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</si>
  <si>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</si>
  <si>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</si>
  <si>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</si>
  <si>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</si>
  <si>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</si>
  <si>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</si>
  <si>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</si>
  <si>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</si>
  <si>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</si>
  <si>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</si>
  <si>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</si>
  <si>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</si>
  <si>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</si>
  <si>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</si>
  <si>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</si>
  <si>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</si>
  <si>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</si>
  <si>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</si>
  <si>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</si>
  <si>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</si>
  <si>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</si>
  <si>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</si>
  <si>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</si>
  <si>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</si>
  <si>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</si>
  <si>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</si>
  <si>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</si>
  <si>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</si>
  <si>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</si>
  <si>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</si>
  <si>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</si>
  <si>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</si>
  <si>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</si>
  <si>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</si>
  <si>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</si>
  <si>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</si>
  <si>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</si>
  <si>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</si>
  <si>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</si>
  <si>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</si>
  <si>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</si>
  <si>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</si>
  <si>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</si>
  <si>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</si>
  <si>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</si>
  <si>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</si>
  <si>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</si>
  <si>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</si>
  <si>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</si>
  <si>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</si>
  <si>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</si>
  <si>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</si>
  <si>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</si>
  <si>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</si>
  <si>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</si>
  <si>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</si>
  <si>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</si>
  <si>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</si>
  <si>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</si>
  <si>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</si>
  <si>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</si>
  <si>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</si>
  <si>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</si>
  <si>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</si>
  <si>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</si>
  <si>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</si>
  <si>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</si>
  <si>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</si>
  <si>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</si>
  <si>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</si>
  <si>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</si>
  <si>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</si>
  <si>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</si>
  <si>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</si>
  <si>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</si>
  <si>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</si>
  <si>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</si>
  <si>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</si>
  <si>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</si>
  <si>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</si>
  <si>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</si>
  <si>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</si>
  <si>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</si>
  <si>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</si>
  <si>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</si>
  <si>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</si>
  <si>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</si>
  <si>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</si>
  <si>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</si>
  <si>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</si>
  <si>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</si>
  <si>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</si>
  <si>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</si>
  <si>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</si>
  <si>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</si>
  <si>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</si>
  <si>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</si>
  <si>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</si>
  <si>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</si>
  <si>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</si>
  <si>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</si>
  <si>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</si>
  <si>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</si>
  <si>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</si>
  <si>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</si>
  <si>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</si>
  <si>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</si>
  <si>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</si>
  <si>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</si>
  <si>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</si>
  <si>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</si>
  <si>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</si>
  <si>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</si>
  <si>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</si>
  <si>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</si>
  <si>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</si>
  <si>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</si>
  <si>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</si>
  <si>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</si>
  <si>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</si>
  <si>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</si>
  <si>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</si>
  <si>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</si>
  <si>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</si>
  <si>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</si>
  <si>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</si>
  <si>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</si>
  <si>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</si>
  <si>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</si>
  <si>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</si>
  <si>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</si>
  <si>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</si>
  <si>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</si>
  <si>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</si>
  <si>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</si>
  <si>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</si>
  <si>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</si>
  <si>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</si>
  <si>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</si>
  <si>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</si>
  <si>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</si>
  <si>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</si>
  <si>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</si>
  <si>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</si>
  <si>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</si>
  <si>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</si>
  <si>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</si>
  <si>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</si>
  <si>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</si>
  <si>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</si>
  <si>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</si>
  <si>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</si>
  <si>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</si>
  <si>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</si>
  <si>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</si>
  <si>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</si>
  <si>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</si>
  <si>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</si>
  <si>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</si>
  <si>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</si>
  <si>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</si>
  <si>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</si>
  <si>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</si>
  <si>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</si>
  <si>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</si>
  <si>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</si>
  <si>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</si>
  <si>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</si>
  <si>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</si>
  <si>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</si>
  <si>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</si>
  <si>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</si>
  <si>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</si>
  <si>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</si>
  <si>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</si>
  <si>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</si>
  <si>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</si>
  <si>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</si>
  <si>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</si>
  <si>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</si>
  <si>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</si>
  <si>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</si>
  <si>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</si>
  <si>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</si>
  <si>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</si>
  <si>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</si>
  <si>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</si>
  <si>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</si>
  <si>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</si>
  <si>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</si>
  <si>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</si>
  <si>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</si>
  <si>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</si>
  <si>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</si>
  <si>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</si>
  <si>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</si>
  <si>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</si>
  <si>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</si>
  <si>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</si>
  <si>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</si>
  <si>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</si>
  <si>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</si>
  <si>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</si>
  <si>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</si>
  <si>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</si>
  <si>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</si>
  <si>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</si>
  <si>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</si>
  <si>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</si>
  <si>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</si>
  <si>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</si>
  <si>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</si>
  <si>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</si>
  <si>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</si>
  <si>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</si>
  <si>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</si>
  <si>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</si>
  <si>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</si>
  <si>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</si>
  <si>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</si>
  <si>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</si>
  <si>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</si>
  <si>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</si>
  <si>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</si>
  <si>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</si>
  <si>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</si>
  <si>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</si>
  <si>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</si>
  <si>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</si>
  <si>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</si>
  <si>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</si>
  <si>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</si>
  <si>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</si>
  <si>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</si>
  <si>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</si>
  <si>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</si>
  <si>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</si>
  <si>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</si>
  <si>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</si>
  <si>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</si>
  <si>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</si>
  <si>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</si>
  <si>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</si>
  <si>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</si>
  <si>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</si>
  <si>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</si>
  <si>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</si>
  <si>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</si>
  <si>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</si>
  <si>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</si>
  <si>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</si>
  <si>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</si>
  <si>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</si>
  <si>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</si>
  <si>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</si>
  <si>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</si>
  <si>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</si>
  <si>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</si>
  <si>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</si>
  <si>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</si>
  <si>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</si>
  <si>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</si>
  <si>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</si>
  <si>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</si>
  <si>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</si>
  <si>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</si>
  <si>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</si>
  <si>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</si>
  <si>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</si>
  <si>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</si>
  <si>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</si>
  <si>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</si>
  <si>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</si>
  <si>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</si>
  <si>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</si>
  <si>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</si>
  <si>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</si>
  <si>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</si>
  <si>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</si>
  <si>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</si>
  <si>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</si>
  <si>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</si>
  <si>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</si>
  <si>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</si>
  <si>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</si>
  <si>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</si>
  <si>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</si>
  <si>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</si>
  <si>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</si>
  <si>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</si>
  <si>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</si>
  <si>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</si>
  <si>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</si>
  <si>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</si>
  <si>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</si>
  <si>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</si>
  <si>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</si>
  <si>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</si>
  <si>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</si>
  <si>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</si>
  <si>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</si>
  <si>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</si>
  <si>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</si>
  <si>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</si>
  <si>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</si>
  <si>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</si>
  <si>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</si>
  <si>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</si>
  <si>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</si>
  <si>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</si>
  <si>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</si>
  <si>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</si>
  <si>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</si>
  <si>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</si>
  <si>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</si>
  <si>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</si>
  <si>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</si>
  <si>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</si>
  <si>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</si>
  <si>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</si>
  <si>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</si>
  <si>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</si>
  <si>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</si>
  <si>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</si>
  <si>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</si>
  <si>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</si>
  <si>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</si>
  <si>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</si>
  <si>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</si>
  <si>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</si>
  <si>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</si>
  <si>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</si>
  <si>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</si>
  <si>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</si>
  <si>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</si>
  <si>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</si>
  <si>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</si>
  <si>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</si>
  <si>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</si>
  <si>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</si>
  <si>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</si>
  <si>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</si>
  <si>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</si>
  <si>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</si>
  <si>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</si>
  <si>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</si>
  <si>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</si>
  <si>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</si>
  <si>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</si>
  <si>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</si>
  <si>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</si>
  <si>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</si>
  <si>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</si>
  <si>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</si>
  <si>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</si>
  <si>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</si>
  <si>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</si>
  <si>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</si>
  <si>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</si>
  <si>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</si>
  <si>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</si>
  <si>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</si>
  <si>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</si>
  <si>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</si>
  <si>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</si>
  <si>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</si>
  <si>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</si>
  <si>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</si>
  <si>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</si>
  <si>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</si>
  <si>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</si>
  <si>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</si>
  <si>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</si>
  <si>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</si>
  <si>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</si>
  <si>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</si>
  <si>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</si>
  <si>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</si>
  <si>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</si>
  <si>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</si>
  <si>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</si>
  <si>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</si>
  <si>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</si>
  <si>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</si>
  <si>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</si>
  <si>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</si>
  <si>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</si>
  <si>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</si>
  <si>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</si>
  <si>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</si>
  <si>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</si>
  <si>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</si>
  <si>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</si>
  <si>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</si>
  <si>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</si>
  <si>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</si>
  <si>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</si>
  <si>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</si>
  <si>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</si>
  <si>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</si>
  <si>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</si>
  <si>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</si>
  <si>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</si>
  <si>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</si>
  <si>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</si>
  <si>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</si>
  <si>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</si>
  <si>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</si>
  <si>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</si>
  <si>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</si>
  <si>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</si>
  <si>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</si>
  <si>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</si>
  <si>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</si>
  <si>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</si>
  <si>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</si>
  <si>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</si>
  <si>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</si>
  <si>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</si>
  <si>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</si>
  <si>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</si>
  <si>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</si>
  <si>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</si>
  <si>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</si>
  <si>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</si>
  <si>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</si>
  <si>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</si>
  <si>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</si>
  <si>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</si>
  <si>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</si>
  <si>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</si>
  <si>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</si>
  <si>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</si>
  <si>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</si>
  <si>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</si>
  <si>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</si>
  <si>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</si>
  <si>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</si>
  <si>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</si>
  <si>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</si>
  <si>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</si>
  <si>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</si>
  <si>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</si>
  <si>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</si>
  <si>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</si>
  <si>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</si>
  <si>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</si>
  <si>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</si>
  <si>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</si>
  <si>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</si>
  <si>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</si>
  <si>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</si>
  <si>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</si>
  <si>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</si>
  <si>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</si>
  <si>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</si>
  <si>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</si>
  <si>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</si>
  <si>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</si>
  <si>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</si>
  <si>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</si>
  <si>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</si>
  <si>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</si>
  <si>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</si>
  <si>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</si>
  <si>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</si>
  <si>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</si>
  <si>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</si>
  <si>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</si>
  <si>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</si>
  <si>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</si>
  <si>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</si>
  <si>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</si>
  <si>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</si>
  <si>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</si>
  <si>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</si>
  <si>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</si>
  <si>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</si>
  <si>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</si>
  <si>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</si>
  <si>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</si>
  <si>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</si>
  <si>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</si>
  <si>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</si>
  <si>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</si>
  <si>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</si>
  <si>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</si>
  <si>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</si>
  <si>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</si>
  <si>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</si>
  <si>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</si>
  <si>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</si>
  <si>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</si>
  <si>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</si>
  <si>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</si>
  <si>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</si>
  <si>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</si>
  <si>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</si>
  <si>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</si>
  <si>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</si>
  <si>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</si>
  <si>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</si>
  <si>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</si>
  <si>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</si>
  <si>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</si>
  <si>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</si>
  <si>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</si>
  <si>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</si>
  <si>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</si>
  <si>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</si>
  <si>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</si>
  <si>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</si>
  <si>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</si>
  <si>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</si>
  <si>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</si>
  <si>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</si>
  <si>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</si>
  <si>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</si>
  <si>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</si>
  <si>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</si>
  <si>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</si>
  <si>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</si>
  <si>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</si>
  <si>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</si>
  <si>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</si>
  <si>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</si>
  <si>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</si>
  <si>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</si>
  <si>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</si>
  <si>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</si>
  <si>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</si>
  <si>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</si>
  <si>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</si>
  <si>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</si>
  <si>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</si>
  <si>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</si>
  <si>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</si>
  <si>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</si>
  <si>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</si>
  <si>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</si>
  <si>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</si>
  <si>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</si>
  <si>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</si>
  <si>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</si>
  <si>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</si>
  <si>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</si>
  <si>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</si>
  <si>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</si>
  <si>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</si>
  <si>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</si>
  <si>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</si>
  <si>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</si>
  <si>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</si>
  <si>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</si>
  <si>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</si>
  <si>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</si>
  <si>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</si>
  <si>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</si>
  <si>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</si>
  <si>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</si>
  <si>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</si>
  <si>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</si>
  <si>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</si>
  <si>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</si>
  <si>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</si>
  <si>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</si>
  <si>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</si>
  <si>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</si>
  <si>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</si>
  <si>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</si>
  <si>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</si>
  <si>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</si>
  <si>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</si>
  <si>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</si>
  <si>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</si>
  <si>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</si>
  <si>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</si>
  <si>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</si>
  <si>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</si>
  <si>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</si>
  <si>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</si>
  <si>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</si>
  <si>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</si>
  <si>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</si>
  <si>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</si>
  <si>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</si>
  <si>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</si>
  <si>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</si>
  <si>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</si>
  <si>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</si>
  <si>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</si>
  <si>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</si>
  <si>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</si>
  <si>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</si>
  <si>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</si>
  <si>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</si>
  <si>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</si>
  <si>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</si>
  <si>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</si>
  <si>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</si>
  <si>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</si>
  <si>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</si>
  <si>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</si>
  <si>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</si>
  <si>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</si>
  <si>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</si>
  <si>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</si>
  <si>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</si>
  <si>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</si>
  <si>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</si>
  <si>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</si>
  <si>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</si>
  <si>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</si>
  <si>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</si>
  <si>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</si>
  <si>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</si>
  <si>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</si>
  <si>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</si>
  <si>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</si>
  <si>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</si>
  <si>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</si>
  <si>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</si>
  <si>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</si>
  <si>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</si>
  <si>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</si>
  <si>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</si>
  <si>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</si>
  <si>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</si>
  <si>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</si>
  <si>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</si>
  <si>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</si>
  <si>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</si>
  <si>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</si>
  <si>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</si>
  <si>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</si>
  <si>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</si>
  <si>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</si>
  <si>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</si>
  <si>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</si>
  <si>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</si>
  <si>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</si>
  <si>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</si>
  <si>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</si>
  <si>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</si>
  <si>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</si>
  <si>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</si>
  <si>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</si>
  <si>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</si>
  <si>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</si>
  <si>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</si>
  <si>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</si>
  <si>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</si>
  <si>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</si>
  <si>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</si>
  <si>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</si>
  <si>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</si>
  <si>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</si>
  <si>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</si>
  <si>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</si>
  <si>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</si>
  <si>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</si>
  <si>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</si>
  <si>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</si>
  <si>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</si>
  <si>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</si>
  <si>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</si>
  <si>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</si>
  <si>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</si>
  <si>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</si>
  <si>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</si>
  <si>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</si>
  <si>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</si>
  <si>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</si>
  <si>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</si>
  <si>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</si>
  <si>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</si>
  <si>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</si>
  <si>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</si>
  <si>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</si>
  <si>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</si>
  <si>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</si>
  <si>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</si>
  <si>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</si>
  <si>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</si>
  <si>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</si>
  <si>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</si>
  <si>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</si>
  <si>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</si>
  <si>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</si>
  <si>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</si>
  <si>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</si>
  <si>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</si>
  <si>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</si>
  <si>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</si>
  <si>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</si>
  <si>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</si>
  <si>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</si>
  <si>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</si>
  <si>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</si>
  <si>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</si>
  <si>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</si>
  <si>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</si>
  <si>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</si>
  <si>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</si>
  <si>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</si>
  <si>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</si>
  <si>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</si>
  <si>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</si>
  <si>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</si>
  <si>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</si>
  <si>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</si>
  <si>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18. melléklet a 12/2019. (IV. 25.) rendelethez, 7. melléklet 6/2019. (II. 1.) önkormányzati rendelethez  </t>
  </si>
  <si>
    <t xml:space="preserve"> 18. melléklet a ../2019. (…..) rendelethez, 5. melléklet 6/2019. (II. 1.) önkormányzati rendelethez  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</si>
  <si>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</si>
  <si>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</si>
  <si>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</si>
  <si>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</si>
  <si>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</si>
  <si>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</si>
  <si>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</si>
  <si>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</si>
  <si>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</si>
  <si>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</si>
  <si>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</si>
  <si>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</si>
  <si>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</si>
  <si>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</si>
  <si>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</si>
  <si>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</si>
  <si>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</si>
  <si>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</si>
  <si>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</si>
  <si>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</si>
  <si>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</si>
  <si>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</si>
  <si>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</si>
  <si>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</si>
  <si>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</si>
  <si>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</si>
  <si>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</si>
  <si>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</si>
  <si>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</si>
  <si>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</si>
  <si>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</si>
  <si>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</si>
  <si>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</si>
  <si>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</si>
  <si>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</si>
  <si>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</si>
  <si>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</si>
  <si>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</si>
  <si>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</si>
  <si>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</si>
  <si>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</si>
  <si>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</si>
  <si>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</si>
  <si>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</si>
  <si>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</si>
  <si>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</si>
  <si>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</si>
  <si>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</si>
  <si>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</si>
  <si>
    <t xml:space="preserve">4. melléklet a 24/2019. (VIII. 1.) rendelethez, 1/4. melléklet 6/2019. (II. 1.) önkormányzati rendelethez </t>
  </si>
  <si>
    <t xml:space="preserve">2. melléklet a ../2019. (... ...) rendelethez, 1/1. melléklet 6/2019. (II. 1.) önkormányzati rendelethez </t>
  </si>
  <si>
    <t>3. melléklet a ../2019. (... ...) rendelethez, 1/2. melléklet 6/2019. (II. 1.) önkormányzati rendelethez</t>
  </si>
  <si>
    <t xml:space="preserve"> ... melléklet a ../2019. (... ...) rendelethez, 2/2. melléklet 6/2019. (II. 1.) önkormányzati rendelethez   </t>
  </si>
  <si>
    <t xml:space="preserve">Turisztikailag frekventált térségek integrált termék és szolgáltatás fejlesztése - Dr. Schulhofsétány fejlesztése GINOP-7.1.9-17-2018-00015 </t>
  </si>
  <si>
    <t>SportOverBorders Hévíz projekt HUHR/1601/3.1.2/0013</t>
  </si>
  <si>
    <t>RefurbCultur Projekt HUHR/1601/3.1.1/0016</t>
  </si>
  <si>
    <t>Társult önkormányzatok orvosi ügyeleti kiadásokhoz hozzájárulás</t>
  </si>
  <si>
    <t xml:space="preserve">4. melléklet a ../2019. (... ...) rendelethez, 1/5. melléklet 6/2019. (II. 1.) önkormányzati rendelethez </t>
  </si>
  <si>
    <t>69.</t>
  </si>
  <si>
    <t>70.</t>
  </si>
  <si>
    <t>Aquamarin Szállodaüzemeltető Kft. üzletrész értékesítés - foglaló</t>
  </si>
  <si>
    <t>Turisztikailag frekventált térségek integrált termék és szolgáltatás fejlesztése GINOP-7.1.9-17-2018-00015</t>
  </si>
  <si>
    <t>Kisfaludy 2030 reptér pályázat megvalósíthatósági tanulmány visszaigényelhető Áfa</t>
  </si>
  <si>
    <t>Hévízi TDM Egyesület 2019. évi minőségfejl tám. elszámolás szerint visszafizetendő</t>
  </si>
  <si>
    <t>Szabó Lőrinc utcai új útszakasz telektulajd. fizetett önerő hozzájárulás</t>
  </si>
  <si>
    <t xml:space="preserve">5. melléklet a ../2019. (... ...) rendelethez, 1/6. melléklet 6/2019. (II. 1.) önkormányzati rendelethez </t>
  </si>
  <si>
    <t>71.</t>
  </si>
  <si>
    <t>72.</t>
  </si>
  <si>
    <t>SportOverBorders projekt Zalaegerszeg Megyei Jogú Város</t>
  </si>
  <si>
    <t>73.</t>
  </si>
  <si>
    <t>74.</t>
  </si>
  <si>
    <t>75.</t>
  </si>
  <si>
    <t>76.</t>
  </si>
  <si>
    <t>77.</t>
  </si>
  <si>
    <t>SportOverBorders projekt Hévíz Sportkör</t>
  </si>
  <si>
    <t xml:space="preserve">SportOverBorders projekt Cazma </t>
  </si>
  <si>
    <t>SportOverBorders projekt Koprovnica</t>
  </si>
  <si>
    <t>Tar Ferenc: Egy arisztokrata család mindennapjai c. kötewt megjelentetésének támogatása</t>
  </si>
  <si>
    <t>Dr Ladányi Péter: Keszthelyi Nagyváthy Szakközépiskola intézmény története c. kötet megjelentetésének támogatása</t>
  </si>
  <si>
    <t xml:space="preserve">6. melléklet a ../2019. (... ...) rendelethez, 1/7. melléklet 6/2019. (II. 1.) önkormányzati rendelethez </t>
  </si>
  <si>
    <t>12/1.</t>
  </si>
  <si>
    <t>12/2.</t>
  </si>
  <si>
    <r>
      <t xml:space="preserve">Széchenyi utca Kölcsey és Ady u. közötti szakasz déli oldalán 12 parkolóhely megépítése </t>
    </r>
    <r>
      <rPr>
        <b/>
        <sz val="8"/>
        <color rgb="FF0070C0"/>
        <rFont val="Times New Roman"/>
        <family val="1"/>
        <charset val="238"/>
      </rPr>
      <t xml:space="preserve">(Kormányzati döntés alapján! 24.882 ezer Ft) </t>
    </r>
  </si>
  <si>
    <t>6/3.</t>
  </si>
  <si>
    <t>Nagyparkoló tér nyugati üzletsor előtti szennyvíz gerincvezeték kiviteli tervei</t>
  </si>
  <si>
    <t>Kálvária "Kulturbarangolás Hévízen"TOP 1.2.1-15 (engedélyezési tervdok. és ktgbecslés váll díj 30%-a)</t>
  </si>
  <si>
    <t>Hévíz Sportkör támogatása felhalmozásra</t>
  </si>
  <si>
    <t>Internetes étkezési rendszer</t>
  </si>
  <si>
    <t xml:space="preserve">7. melléklet a ../2019. (... ...) rendelethez, 1/8. melléklet 6/2019. (II. 1.) önkormányzati rendelethez </t>
  </si>
  <si>
    <t xml:space="preserve">8. melléklet a .../2019. (... ...) rendelethez, 1/9. melléklet 6/2019. (II. 1.) önkormányzati rendelethez </t>
  </si>
  <si>
    <t>502220 Kálvária "Kulturbarangolás Hévízen" TOP-1.2.1-15</t>
  </si>
  <si>
    <t>502232 Szabó Lőrinc utca új útszakasz beruházás</t>
  </si>
  <si>
    <t>502303 Informatikai rendszer szállítása, bevezetése</t>
  </si>
  <si>
    <t>505803 SportOverBorders pályázat</t>
  </si>
  <si>
    <t>505806 "Helyi termék, helyi érték" VP6-19.2.1-42-7-17</t>
  </si>
  <si>
    <t xml:space="preserve">11. melléklet a ../2019. (... ...) rendelethez, 2/2. melléklet 6/2019. (II. 1.) önkormányzati rendelethez </t>
  </si>
  <si>
    <t xml:space="preserve">15. melléklet a ../2019. (... ...) rendelethez, 3/4. melléklet 6/2019. (II. 1.) önkormányzati rendelethez  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</si>
  <si>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</si>
  <si>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Eszközbeszerzés (defibrillátor beszerzés is)</t>
  </si>
  <si>
    <t>Modosító összeg</t>
  </si>
  <si>
    <t>2019.12.31-i módosított előirányzat</t>
  </si>
  <si>
    <t>Módosító összeg</t>
  </si>
  <si>
    <t xml:space="preserve">Mód Ö </t>
  </si>
  <si>
    <t>Módosított nettó</t>
  </si>
  <si>
    <t xml:space="preserve">Módosított áfa </t>
  </si>
  <si>
    <t>Mód összeg</t>
  </si>
  <si>
    <t xml:space="preserve">mód ö </t>
  </si>
  <si>
    <t>Módosított bruttó</t>
  </si>
  <si>
    <t>mód ö</t>
  </si>
  <si>
    <t>Módosított kötelező</t>
  </si>
  <si>
    <t>Módosított nem kötelező</t>
  </si>
  <si>
    <t xml:space="preserve">Mód ö </t>
  </si>
  <si>
    <t>Módosított összes előirányzat</t>
  </si>
  <si>
    <t>……...-i módosított előirányzat</t>
  </si>
  <si>
    <t xml:space="preserve">2019. XI. 29-i módosított előirányzat </t>
  </si>
  <si>
    <t>………...-i módosított előirányzat</t>
  </si>
  <si>
    <t>T/1.</t>
  </si>
  <si>
    <t>……..-i módosított előirányzat</t>
  </si>
  <si>
    <t xml:space="preserve">T/1/1. </t>
  </si>
  <si>
    <t>T/1/2.</t>
  </si>
  <si>
    <t xml:space="preserve">2019. XI. 29-i módosított előirányzat  </t>
  </si>
  <si>
    <t>…….-i módosított előirányzat</t>
  </si>
  <si>
    <t>T/2.</t>
  </si>
  <si>
    <t>T/3.</t>
  </si>
  <si>
    <t>T/4.</t>
  </si>
  <si>
    <t>T/5.</t>
  </si>
  <si>
    <t>……….-i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</si>
</sst>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mediumDashed">
        <color indexed="64"/>
      </right>
      <top style="medium">
        <color indexed="8"/>
      </top>
      <bottom/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Dashed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Dashed">
        <color indexed="64"/>
      </right>
      <top style="thin">
        <color indexed="8"/>
      </top>
      <bottom/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70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0" fontId="61" fillId="0" borderId="0" xfId="78" applyFont="1"/>
    <xf numFmtId="0" fontId="30" fillId="0" borderId="0" xfId="78" applyFont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57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0" fontId="71" fillId="0" borderId="0" xfId="0" applyFont="1"/>
    <xf numFmtId="0" fontId="31" fillId="0" borderId="0" xfId="0" applyFont="1"/>
    <xf numFmtId="0" fontId="56" fillId="0" borderId="0" xfId="0" applyFont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7" fillId="0" borderId="0" xfId="0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5" fillId="0" borderId="0" xfId="0" applyNumberFormat="1" applyFont="1" applyBorder="1"/>
    <xf numFmtId="0" fontId="34" fillId="0" borderId="0" xfId="0" applyFont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6" fillId="0" borderId="0" xfId="71" applyFont="1" applyAlignment="1">
      <alignment vertical="center"/>
    </xf>
    <xf numFmtId="3" fontId="75" fillId="0" borderId="31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3" xfId="0" applyNumberFormat="1" applyFont="1" applyBorder="1" applyAlignment="1">
      <alignment horizontal="center" vertical="center"/>
    </xf>
    <xf numFmtId="3" fontId="64" fillId="0" borderId="34" xfId="0" applyNumberFormat="1" applyFont="1" applyBorder="1" applyAlignment="1">
      <alignment horizontal="center" vertical="center" wrapText="1"/>
    </xf>
    <xf numFmtId="3" fontId="64" fillId="0" borderId="35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6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7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8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2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58" fillId="0" borderId="0" xfId="0" applyNumberFormat="1" applyFont="1" applyBorder="1"/>
    <xf numFmtId="3" fontId="75" fillId="0" borderId="43" xfId="71" applyNumberFormat="1" applyFont="1" applyFill="1" applyBorder="1" applyAlignment="1">
      <alignment horizontal="center" vertical="center" wrapText="1"/>
    </xf>
    <xf numFmtId="3" fontId="75" fillId="0" borderId="44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22" fillId="0" borderId="45" xfId="0" applyFont="1" applyBorder="1"/>
    <xf numFmtId="3" fontId="25" fillId="0" borderId="27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3" xfId="0" applyNumberFormat="1" applyFont="1" applyBorder="1" applyAlignment="1">
      <alignment horizontal="center" vertical="center"/>
    </xf>
    <xf numFmtId="3" fontId="59" fillId="0" borderId="32" xfId="0" applyNumberFormat="1" applyFont="1" applyBorder="1"/>
    <xf numFmtId="0" fontId="83" fillId="0" borderId="0" xfId="0" applyFont="1"/>
    <xf numFmtId="3" fontId="64" fillId="0" borderId="48" xfId="0" applyNumberFormat="1" applyFont="1" applyBorder="1" applyAlignment="1">
      <alignment horizontal="center" vertical="center" wrapText="1"/>
    </xf>
    <xf numFmtId="3" fontId="64" fillId="0" borderId="49" xfId="0" applyNumberFormat="1" applyFont="1" applyBorder="1" applyAlignment="1">
      <alignment horizontal="center" vertical="center"/>
    </xf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 applyAlignment="1">
      <alignment horizontal="right" vertical="center" wrapText="1"/>
    </xf>
    <xf numFmtId="3" fontId="64" fillId="0" borderId="54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5" xfId="0" applyNumberFormat="1" applyFont="1" applyBorder="1" applyAlignment="1">
      <alignment horizontal="right"/>
    </xf>
    <xf numFmtId="3" fontId="59" fillId="0" borderId="56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7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58" xfId="0" applyNumberFormat="1" applyFont="1" applyFill="1" applyBorder="1"/>
    <xf numFmtId="3" fontId="64" fillId="0" borderId="59" xfId="0" applyNumberFormat="1" applyFont="1" applyBorder="1"/>
    <xf numFmtId="3" fontId="39" fillId="0" borderId="0" xfId="0" applyNumberFormat="1" applyFont="1" applyAlignment="1">
      <alignment horizontal="right"/>
    </xf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4" fillId="0" borderId="0" xfId="0" applyNumberFormat="1" applyFont="1"/>
    <xf numFmtId="3" fontId="34" fillId="0" borderId="60" xfId="0" applyNumberFormat="1" applyFont="1" applyBorder="1"/>
    <xf numFmtId="3" fontId="25" fillId="0" borderId="60" xfId="0" applyNumberFormat="1" applyFont="1" applyBorder="1"/>
    <xf numFmtId="3" fontId="57" fillId="0" borderId="60" xfId="0" applyNumberFormat="1" applyFont="1" applyBorder="1"/>
    <xf numFmtId="0" fontId="25" fillId="0" borderId="27" xfId="0" applyFont="1" applyBorder="1" applyAlignment="1">
      <alignment wrapText="1"/>
    </xf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8" fillId="0" borderId="0" xfId="73" applyFont="1"/>
    <xf numFmtId="3" fontId="58" fillId="0" borderId="60" xfId="0" applyNumberFormat="1" applyFont="1" applyBorder="1"/>
    <xf numFmtId="0" fontId="22" fillId="0" borderId="61" xfId="0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0" fontId="44" fillId="0" borderId="24" xfId="0" applyFont="1" applyBorder="1" applyAlignment="1">
      <alignment horizontal="center"/>
    </xf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64" xfId="0" applyNumberFormat="1" applyFont="1" applyBorder="1"/>
    <xf numFmtId="3" fontId="64" fillId="0" borderId="65" xfId="0" applyNumberFormat="1" applyFont="1" applyBorder="1" applyAlignment="1">
      <alignment horizontal="right" vertical="center" wrapText="1"/>
    </xf>
    <xf numFmtId="3" fontId="64" fillId="0" borderId="66" xfId="0" applyNumberFormat="1" applyFont="1" applyBorder="1" applyAlignment="1">
      <alignment horizontal="center" vertical="center" wrapText="1"/>
    </xf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6" xfId="0" applyFont="1" applyFill="1" applyBorder="1" applyAlignment="1"/>
    <xf numFmtId="3" fontId="57" fillId="0" borderId="67" xfId="0" applyNumberFormat="1" applyFont="1" applyFill="1" applyBorder="1"/>
    <xf numFmtId="3" fontId="57" fillId="0" borderId="60" xfId="0" applyNumberFormat="1" applyFont="1" applyBorder="1" applyAlignment="1">
      <alignment horizontal="center" vertical="center" wrapText="1"/>
    </xf>
    <xf numFmtId="3" fontId="64" fillId="0" borderId="60" xfId="0" applyNumberFormat="1" applyFont="1" applyBorder="1"/>
    <xf numFmtId="3" fontId="59" fillId="0" borderId="60" xfId="0" applyNumberFormat="1" applyFont="1" applyBorder="1"/>
    <xf numFmtId="3" fontId="64" fillId="0" borderId="68" xfId="0" applyNumberFormat="1" applyFont="1" applyFill="1" applyBorder="1"/>
    <xf numFmtId="3" fontId="64" fillId="0" borderId="55" xfId="0" applyNumberFormat="1" applyFont="1" applyBorder="1" applyAlignment="1">
      <alignment horizontal="right" vertical="center" wrapText="1"/>
    </xf>
    <xf numFmtId="0" fontId="64" fillId="0" borderId="69" xfId="0" applyFont="1" applyFill="1" applyBorder="1" applyAlignment="1"/>
    <xf numFmtId="3" fontId="64" fillId="0" borderId="47" xfId="0" applyNumberFormat="1" applyFont="1" applyFill="1" applyBorder="1"/>
    <xf numFmtId="3" fontId="64" fillId="0" borderId="58" xfId="0" applyNumberFormat="1" applyFont="1" applyBorder="1"/>
    <xf numFmtId="3" fontId="64" fillId="0" borderId="70" xfId="0" applyNumberFormat="1" applyFont="1" applyBorder="1"/>
    <xf numFmtId="3" fontId="64" fillId="0" borderId="71" xfId="0" applyNumberFormat="1" applyFont="1" applyBorder="1"/>
    <xf numFmtId="3" fontId="64" fillId="0" borderId="60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165" fontId="48" fillId="0" borderId="28" xfId="0" applyNumberFormat="1" applyFont="1" applyBorder="1" applyAlignment="1">
      <alignment horizontal="right"/>
    </xf>
    <xf numFmtId="0" fontId="39" fillId="0" borderId="22" xfId="0" applyFont="1" applyBorder="1"/>
    <xf numFmtId="3" fontId="59" fillId="0" borderId="58" xfId="0" applyNumberFormat="1" applyFont="1" applyFill="1" applyBorder="1"/>
    <xf numFmtId="3" fontId="59" fillId="0" borderId="70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0" fillId="0" borderId="0" xfId="0" applyFont="1"/>
    <xf numFmtId="0" fontId="1" fillId="0" borderId="0" xfId="70" applyAlignment="1">
      <alignment vertical="center"/>
    </xf>
    <xf numFmtId="0" fontId="29" fillId="0" borderId="45" xfId="71" applyFont="1" applyBorder="1" applyAlignment="1">
      <alignment vertical="center"/>
    </xf>
    <xf numFmtId="3" fontId="22" fillId="0" borderId="45" xfId="71" applyNumberFormat="1" applyFont="1" applyFill="1" applyBorder="1" applyAlignment="1">
      <alignment vertical="center"/>
    </xf>
    <xf numFmtId="0" fontId="32" fillId="0" borderId="45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65" xfId="0" applyFont="1" applyBorder="1"/>
    <xf numFmtId="0" fontId="57" fillId="0" borderId="60" xfId="0" applyFont="1" applyBorder="1"/>
    <xf numFmtId="0" fontId="57" fillId="0" borderId="62" xfId="0" applyFont="1" applyBorder="1"/>
    <xf numFmtId="3" fontId="64" fillId="0" borderId="62" xfId="0" applyNumberFormat="1" applyFont="1" applyBorder="1" applyAlignment="1">
      <alignment horizontal="right"/>
    </xf>
    <xf numFmtId="3" fontId="110" fillId="0" borderId="0" xfId="0" applyNumberFormat="1" applyFont="1"/>
    <xf numFmtId="3" fontId="111" fillId="0" borderId="0" xfId="0" applyNumberFormat="1" applyFont="1"/>
    <xf numFmtId="0" fontId="110" fillId="0" borderId="0" xfId="0" applyFont="1" applyBorder="1"/>
    <xf numFmtId="0" fontId="111" fillId="0" borderId="0" xfId="0" applyFont="1"/>
    <xf numFmtId="0" fontId="28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5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5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6" fillId="0" borderId="22" xfId="71" applyFont="1" applyBorder="1" applyAlignment="1">
      <alignment vertical="center" wrapText="1"/>
    </xf>
    <xf numFmtId="0" fontId="37" fillId="0" borderId="22" xfId="78" applyFont="1" applyBorder="1"/>
    <xf numFmtId="0" fontId="23" fillId="0" borderId="22" xfId="0" applyFont="1" applyBorder="1"/>
    <xf numFmtId="3" fontId="37" fillId="0" borderId="73" xfId="78" applyNumberFormat="1" applyFont="1" applyBorder="1"/>
    <xf numFmtId="3" fontId="37" fillId="0" borderId="0" xfId="78" applyNumberFormat="1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19" fillId="0" borderId="24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2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3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4" fillId="0" borderId="0" xfId="0" applyFont="1" applyFill="1"/>
    <xf numFmtId="0" fontId="125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2" fillId="0" borderId="0" xfId="0" applyFont="1" applyFill="1" applyAlignment="1">
      <alignment horizontal="center"/>
    </xf>
    <xf numFmtId="3" fontId="125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6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/>
    </xf>
    <xf numFmtId="4" fontId="119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9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0" fillId="0" borderId="24" xfId="71" applyNumberFormat="1" applyFont="1" applyFill="1" applyBorder="1" applyAlignment="1">
      <alignment vertical="center"/>
    </xf>
    <xf numFmtId="3" fontId="127" fillId="0" borderId="24" xfId="71" applyNumberFormat="1" applyFont="1" applyFill="1" applyBorder="1" applyAlignment="1">
      <alignment vertical="center" wrapText="1"/>
    </xf>
    <xf numFmtId="0" fontId="119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0" fillId="0" borderId="24" xfId="71" applyNumberFormat="1" applyFont="1" applyFill="1" applyBorder="1" applyAlignment="1">
      <alignment vertical="center"/>
    </xf>
    <xf numFmtId="165" fontId="120" fillId="0" borderId="24" xfId="71" applyNumberFormat="1" applyFont="1" applyFill="1" applyBorder="1" applyAlignment="1">
      <alignment vertical="center"/>
    </xf>
    <xf numFmtId="168" fontId="120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3" fontId="120" fillId="0" borderId="24" xfId="71" applyNumberFormat="1" applyFont="1" applyBorder="1" applyAlignment="1">
      <alignment horizontal="right" vertical="center"/>
    </xf>
    <xf numFmtId="165" fontId="120" fillId="0" borderId="24" xfId="71" applyNumberFormat="1" applyFont="1" applyBorder="1" applyAlignment="1">
      <alignment vertical="center"/>
    </xf>
    <xf numFmtId="0" fontId="128" fillId="0" borderId="24" xfId="75" applyFont="1" applyBorder="1" applyAlignment="1">
      <alignment vertical="center"/>
    </xf>
    <xf numFmtId="3" fontId="120" fillId="0" borderId="24" xfId="75" applyNumberFormat="1" applyFont="1" applyBorder="1" applyAlignment="1">
      <alignment vertical="center"/>
    </xf>
    <xf numFmtId="0" fontId="109" fillId="0" borderId="24" xfId="71" applyFont="1" applyBorder="1" applyAlignment="1">
      <alignment vertical="center" wrapText="1"/>
    </xf>
    <xf numFmtId="9" fontId="120" fillId="0" borderId="24" xfId="71" applyNumberFormat="1" applyFont="1" applyFill="1" applyBorder="1" applyAlignment="1">
      <alignment vertical="center"/>
    </xf>
    <xf numFmtId="0" fontId="119" fillId="0" borderId="25" xfId="71" applyFont="1" applyBorder="1" applyAlignment="1">
      <alignment vertical="center" wrapText="1"/>
    </xf>
    <xf numFmtId="3" fontId="120" fillId="0" borderId="25" xfId="71" applyNumberFormat="1" applyFont="1" applyBorder="1" applyAlignment="1">
      <alignment vertical="center"/>
    </xf>
    <xf numFmtId="3" fontId="120" fillId="0" borderId="25" xfId="71" applyNumberFormat="1" applyFont="1" applyFill="1" applyBorder="1" applyAlignment="1">
      <alignment vertical="center"/>
    </xf>
    <xf numFmtId="165" fontId="120" fillId="0" borderId="25" xfId="71" applyNumberFormat="1" applyFont="1" applyFill="1" applyBorder="1" applyAlignment="1">
      <alignment vertical="center"/>
    </xf>
    <xf numFmtId="3" fontId="119" fillId="0" borderId="25" xfId="71" applyNumberFormat="1" applyFont="1" applyBorder="1" applyAlignment="1">
      <alignment vertical="center"/>
    </xf>
    <xf numFmtId="4" fontId="119" fillId="0" borderId="25" xfId="71" applyNumberFormat="1" applyFont="1" applyBorder="1" applyAlignment="1">
      <alignment vertical="center"/>
    </xf>
    <xf numFmtId="0" fontId="109" fillId="0" borderId="78" xfId="71" applyFont="1" applyFill="1" applyBorder="1" applyAlignment="1">
      <alignment vertical="center"/>
    </xf>
    <xf numFmtId="3" fontId="129" fillId="0" borderId="58" xfId="71" applyNumberFormat="1" applyFont="1" applyFill="1" applyBorder="1" applyAlignment="1">
      <alignment vertical="center"/>
    </xf>
    <xf numFmtId="3" fontId="129" fillId="0" borderId="70" xfId="71" applyNumberFormat="1" applyFont="1" applyFill="1" applyBorder="1" applyAlignment="1">
      <alignment vertical="center"/>
    </xf>
    <xf numFmtId="3" fontId="129" fillId="0" borderId="32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79" xfId="0" applyFont="1" applyBorder="1"/>
    <xf numFmtId="0" fontId="50" fillId="0" borderId="79" xfId="0" applyFont="1" applyBorder="1" applyAlignment="1">
      <alignment horizontal="right"/>
    </xf>
    <xf numFmtId="0" fontId="54" fillId="0" borderId="79" xfId="0" applyFont="1" applyBorder="1" applyAlignment="1">
      <alignment horizontal="right"/>
    </xf>
    <xf numFmtId="0" fontId="48" fillId="0" borderId="79" xfId="0" applyFont="1" applyBorder="1" applyAlignment="1">
      <alignment horizontal="right"/>
    </xf>
    <xf numFmtId="4" fontId="48" fillId="0" borderId="79" xfId="0" applyNumberFormat="1" applyFont="1" applyBorder="1" applyAlignment="1">
      <alignment horizontal="right"/>
    </xf>
    <xf numFmtId="0" fontId="48" fillId="0" borderId="42" xfId="0" applyFont="1" applyBorder="1" applyAlignment="1">
      <alignment shrinkToFit="1"/>
    </xf>
    <xf numFmtId="0" fontId="54" fillId="0" borderId="76" xfId="0" applyFont="1" applyBorder="1"/>
    <xf numFmtId="0" fontId="55" fillId="0" borderId="76" xfId="0" applyFont="1" applyBorder="1" applyAlignment="1">
      <alignment horizontal="right"/>
    </xf>
    <xf numFmtId="0" fontId="54" fillId="0" borderId="76" xfId="0" applyFont="1" applyBorder="1" applyAlignment="1">
      <alignment horizontal="right"/>
    </xf>
    <xf numFmtId="0" fontId="48" fillId="0" borderId="76" xfId="0" applyFont="1" applyBorder="1" applyAlignment="1">
      <alignment horizontal="right"/>
    </xf>
    <xf numFmtId="0" fontId="48" fillId="0" borderId="77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09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2" fillId="0" borderId="24" xfId="71" applyFont="1" applyBorder="1" applyAlignment="1">
      <alignment vertical="center"/>
    </xf>
    <xf numFmtId="2" fontId="120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0" fontId="133" fillId="0" borderId="24" xfId="71" applyFont="1" applyBorder="1" applyAlignment="1">
      <alignment vertical="center"/>
    </xf>
    <xf numFmtId="3" fontId="120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7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6" fillId="0" borderId="0" xfId="71" applyFont="1" applyBorder="1" applyAlignment="1">
      <alignment vertical="center"/>
    </xf>
    <xf numFmtId="0" fontId="13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5" fillId="0" borderId="0" xfId="71" applyFont="1" applyAlignment="1">
      <alignment vertical="center"/>
    </xf>
    <xf numFmtId="3" fontId="44" fillId="0" borderId="32" xfId="0" applyNumberFormat="1" applyFont="1" applyBorder="1"/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0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165" fontId="43" fillId="0" borderId="0" xfId="0" applyNumberFormat="1" applyFont="1"/>
    <xf numFmtId="0" fontId="90" fillId="0" borderId="107" xfId="0" applyFont="1" applyBorder="1" applyAlignment="1">
      <alignment horizontal="center"/>
    </xf>
    <xf numFmtId="0" fontId="90" fillId="0" borderId="52" xfId="0" applyFont="1" applyBorder="1" applyAlignment="1">
      <alignment horizontal="center"/>
    </xf>
    <xf numFmtId="0" fontId="58" fillId="0" borderId="60" xfId="0" applyFont="1" applyBorder="1"/>
    <xf numFmtId="0" fontId="82" fillId="0" borderId="60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14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30" fillId="0" borderId="0" xfId="0" applyFont="1" applyBorder="1"/>
    <xf numFmtId="3" fontId="109" fillId="0" borderId="32" xfId="0" applyNumberFormat="1" applyFont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3" fontId="25" fillId="0" borderId="72" xfId="0" applyNumberFormat="1" applyFont="1" applyBorder="1"/>
    <xf numFmtId="3" fontId="133" fillId="0" borderId="24" xfId="71" applyNumberFormat="1" applyFont="1" applyBorder="1" applyAlignment="1">
      <alignment vertical="center"/>
    </xf>
    <xf numFmtId="3" fontId="142" fillId="0" borderId="24" xfId="71" applyNumberFormat="1" applyFont="1" applyFill="1" applyBorder="1" applyAlignment="1">
      <alignment vertical="center"/>
    </xf>
    <xf numFmtId="0" fontId="142" fillId="0" borderId="0" xfId="71" applyFont="1" applyAlignment="1">
      <alignment vertical="center"/>
    </xf>
    <xf numFmtId="0" fontId="143" fillId="0" borderId="0" xfId="0" applyFont="1" applyFill="1"/>
    <xf numFmtId="0" fontId="1" fillId="0" borderId="0" xfId="70" applyAlignment="1">
      <alignment vertical="center"/>
    </xf>
    <xf numFmtId="3" fontId="145" fillId="0" borderId="24" xfId="71" applyNumberFormat="1" applyFont="1" applyBorder="1" applyAlignment="1">
      <alignment vertical="center"/>
    </xf>
    <xf numFmtId="3" fontId="146" fillId="0" borderId="0" xfId="71" applyNumberFormat="1" applyFont="1" applyAlignment="1">
      <alignment vertical="center"/>
    </xf>
    <xf numFmtId="3" fontId="144" fillId="0" borderId="24" xfId="71" applyNumberFormat="1" applyFont="1" applyBorder="1" applyAlignment="1">
      <alignment vertical="center" wrapText="1"/>
    </xf>
    <xf numFmtId="165" fontId="145" fillId="0" borderId="24" xfId="71" applyNumberFormat="1" applyFont="1" applyBorder="1" applyAlignment="1">
      <alignment vertical="center"/>
    </xf>
    <xf numFmtId="167" fontId="145" fillId="0" borderId="24" xfId="71" applyNumberFormat="1" applyFont="1" applyBorder="1" applyAlignment="1">
      <alignment vertical="center"/>
    </xf>
    <xf numFmtId="4" fontId="145" fillId="0" borderId="24" xfId="71" applyNumberFormat="1" applyFont="1" applyBorder="1" applyAlignment="1">
      <alignment vertical="center"/>
    </xf>
    <xf numFmtId="3" fontId="147" fillId="0" borderId="24" xfId="71" applyNumberFormat="1" applyFont="1" applyFill="1" applyBorder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165" fontId="54" fillId="0" borderId="12" xfId="0" applyNumberFormat="1" applyFont="1" applyBorder="1"/>
    <xf numFmtId="0" fontId="149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2" xfId="0" applyFont="1" applyBorder="1"/>
    <xf numFmtId="3" fontId="26" fillId="0" borderId="79" xfId="0" applyNumberFormat="1" applyFont="1" applyBorder="1"/>
    <xf numFmtId="3" fontId="26" fillId="0" borderId="84" xfId="0" applyNumberFormat="1" applyFont="1" applyBorder="1"/>
    <xf numFmtId="0" fontId="53" fillId="0" borderId="79" xfId="0" applyFont="1" applyBorder="1"/>
    <xf numFmtId="0" fontId="55" fillId="0" borderId="0" xfId="0" applyFont="1" applyBorder="1" applyAlignment="1"/>
    <xf numFmtId="3" fontId="31" fillId="0" borderId="24" xfId="71" applyNumberFormat="1" applyFont="1" applyBorder="1" applyAlignment="1">
      <alignment horizontal="right" vertical="center" wrapText="1"/>
    </xf>
    <xf numFmtId="0" fontId="23" fillId="0" borderId="60" xfId="0" applyFont="1" applyBorder="1"/>
    <xf numFmtId="0" fontId="22" fillId="0" borderId="108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0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0" fillId="0" borderId="0" xfId="0" applyFont="1" applyFill="1"/>
    <xf numFmtId="0" fontId="150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61" fillId="0" borderId="0" xfId="78" applyFont="1" applyBorder="1"/>
    <xf numFmtId="0" fontId="41" fillId="0" borderId="0" xfId="0" applyFont="1" applyBorder="1"/>
    <xf numFmtId="3" fontId="25" fillId="0" borderId="32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40" fillId="0" borderId="0" xfId="0" applyFont="1" applyBorder="1"/>
    <xf numFmtId="3" fontId="30" fillId="0" borderId="32" xfId="0" applyNumberFormat="1" applyFont="1" applyBorder="1"/>
    <xf numFmtId="0" fontId="25" fillId="0" borderId="32" xfId="0" applyFont="1" applyBorder="1"/>
    <xf numFmtId="0" fontId="28" fillId="0" borderId="109" xfId="0" applyFont="1" applyBorder="1" applyAlignment="1">
      <alignment horizontal="center"/>
    </xf>
    <xf numFmtId="0" fontId="30" fillId="0" borderId="32" xfId="0" applyFont="1" applyBorder="1"/>
    <xf numFmtId="0" fontId="132" fillId="0" borderId="0" xfId="71" applyFont="1" applyAlignment="1">
      <alignment vertical="center"/>
    </xf>
    <xf numFmtId="0" fontId="119" fillId="0" borderId="0" xfId="71" applyFont="1" applyAlignment="1">
      <alignment vertical="center"/>
    </xf>
    <xf numFmtId="3" fontId="119" fillId="0" borderId="0" xfId="71" applyNumberFormat="1" applyFont="1" applyAlignment="1">
      <alignment vertical="center"/>
    </xf>
    <xf numFmtId="3" fontId="159" fillId="0" borderId="43" xfId="71" applyNumberFormat="1" applyFont="1" applyFill="1" applyBorder="1" applyAlignment="1">
      <alignment horizontal="center" vertical="center" wrapText="1"/>
    </xf>
    <xf numFmtId="3" fontId="159" fillId="0" borderId="31" xfId="71" applyNumberFormat="1" applyFont="1" applyFill="1" applyBorder="1" applyAlignment="1">
      <alignment horizontal="center" vertical="center" wrapText="1"/>
    </xf>
    <xf numFmtId="3" fontId="159" fillId="0" borderId="44" xfId="71" applyNumberFormat="1" applyFont="1" applyFill="1" applyBorder="1" applyAlignment="1">
      <alignment horizontal="center" vertical="center" wrapText="1"/>
    </xf>
    <xf numFmtId="0" fontId="132" fillId="0" borderId="0" xfId="71" applyFont="1" applyBorder="1" applyAlignment="1">
      <alignment vertical="center"/>
    </xf>
    <xf numFmtId="0" fontId="109" fillId="0" borderId="45" xfId="71" applyFont="1" applyBorder="1" applyAlignment="1">
      <alignment vertical="center"/>
    </xf>
    <xf numFmtId="3" fontId="120" fillId="0" borderId="45" xfId="71" applyNumberFormat="1" applyFont="1" applyFill="1" applyBorder="1" applyAlignment="1">
      <alignment vertical="center"/>
    </xf>
    <xf numFmtId="0" fontId="132" fillId="0" borderId="45" xfId="71" applyFont="1" applyBorder="1" applyAlignment="1">
      <alignment vertical="center"/>
    </xf>
    <xf numFmtId="0" fontId="132" fillId="0" borderId="22" xfId="71" applyFont="1" applyBorder="1" applyAlignment="1">
      <alignment vertical="center"/>
    </xf>
    <xf numFmtId="0" fontId="116" fillId="0" borderId="24" xfId="71" applyFont="1" applyBorder="1" applyAlignment="1">
      <alignment vertical="center"/>
    </xf>
    <xf numFmtId="3" fontId="160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2" fillId="0" borderId="0" xfId="71" applyNumberFormat="1" applyFont="1" applyAlignment="1">
      <alignment vertical="center"/>
    </xf>
    <xf numFmtId="3" fontId="160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5" fillId="0" borderId="22" xfId="70" applyFont="1" applyBorder="1" applyAlignment="1">
      <alignment vertical="center"/>
    </xf>
    <xf numFmtId="0" fontId="132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7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5" fillId="0" borderId="22" xfId="70" applyFont="1" applyBorder="1" applyAlignment="1">
      <alignment vertical="center" wrapText="1"/>
    </xf>
    <xf numFmtId="0" fontId="162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19" fillId="0" borderId="24" xfId="71" applyNumberFormat="1" applyFont="1" applyBorder="1" applyAlignment="1">
      <alignment vertical="center"/>
    </xf>
    <xf numFmtId="0" fontId="129" fillId="0" borderId="24" xfId="71" applyFont="1" applyBorder="1" applyAlignment="1">
      <alignment vertical="center" wrapText="1"/>
    </xf>
    <xf numFmtId="0" fontId="163" fillId="0" borderId="0" xfId="71" applyFont="1" applyAlignment="1">
      <alignment vertical="center"/>
    </xf>
    <xf numFmtId="9" fontId="120" fillId="0" borderId="25" xfId="71" applyNumberFormat="1" applyFont="1" applyFill="1" applyBorder="1" applyAlignment="1">
      <alignment vertical="center"/>
    </xf>
    <xf numFmtId="0" fontId="129" fillId="0" borderId="25" xfId="71" applyFont="1" applyBorder="1" applyAlignment="1">
      <alignment vertical="center" wrapText="1"/>
    </xf>
    <xf numFmtId="3" fontId="109" fillId="0" borderId="58" xfId="71" applyNumberFormat="1" applyFont="1" applyFill="1" applyBorder="1" applyAlignment="1">
      <alignment vertical="center"/>
    </xf>
    <xf numFmtId="3" fontId="109" fillId="0" borderId="70" xfId="71" applyNumberFormat="1" applyFont="1" applyFill="1" applyBorder="1" applyAlignment="1">
      <alignment vertical="center"/>
    </xf>
    <xf numFmtId="3" fontId="109" fillId="0" borderId="32" xfId="71" applyNumberFormat="1" applyFont="1" applyFill="1" applyBorder="1" applyAlignment="1">
      <alignment vertical="center"/>
    </xf>
    <xf numFmtId="0" fontId="33" fillId="0" borderId="0" xfId="0" applyFont="1" applyAlignment="1">
      <alignment wrapText="1"/>
    </xf>
    <xf numFmtId="3" fontId="164" fillId="0" borderId="0" xfId="71" applyNumberFormat="1" applyFont="1" applyAlignment="1">
      <alignment vertical="center"/>
    </xf>
    <xf numFmtId="3" fontId="164" fillId="0" borderId="0" xfId="71" applyNumberFormat="1" applyFont="1" applyBorder="1" applyAlignment="1">
      <alignment vertical="center"/>
    </xf>
    <xf numFmtId="1" fontId="35" fillId="0" borderId="0" xfId="78" applyNumberFormat="1" applyFont="1"/>
    <xf numFmtId="0" fontId="53" fillId="0" borderId="24" xfId="77" applyFont="1" applyBorder="1" applyAlignment="1">
      <alignment horizontal="center"/>
    </xf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 vertical="center"/>
    </xf>
    <xf numFmtId="0" fontId="100" fillId="0" borderId="12" xfId="0" applyFont="1" applyBorder="1" applyAlignment="1">
      <alignment horizontal="right" vertical="center"/>
    </xf>
    <xf numFmtId="165" fontId="100" fillId="0" borderId="12" xfId="0" applyNumberFormat="1" applyFont="1" applyBorder="1" applyAlignment="1">
      <alignment horizontal="right"/>
    </xf>
    <xf numFmtId="1" fontId="48" fillId="0" borderId="12" xfId="0" applyNumberFormat="1" applyFont="1" applyBorder="1"/>
    <xf numFmtId="166" fontId="35" fillId="0" borderId="12" xfId="0" applyNumberFormat="1" applyFont="1" applyBorder="1" applyAlignment="1">
      <alignment horizontal="center" vertical="center"/>
    </xf>
    <xf numFmtId="0" fontId="98" fillId="0" borderId="0" xfId="73" applyFont="1" applyAlignment="1">
      <alignment wrapText="1"/>
    </xf>
    <xf numFmtId="0" fontId="20" fillId="0" borderId="0" xfId="0" applyFont="1" applyAlignment="1">
      <alignment horizontal="right"/>
    </xf>
    <xf numFmtId="3" fontId="29" fillId="0" borderId="32" xfId="0" applyNumberFormat="1" applyFont="1" applyBorder="1"/>
    <xf numFmtId="3" fontId="29" fillId="0" borderId="26" xfId="0" applyNumberFormat="1" applyFont="1" applyBorder="1"/>
    <xf numFmtId="3" fontId="29" fillId="0" borderId="32" xfId="0" applyNumberFormat="1" applyFont="1" applyBorder="1" applyAlignment="1">
      <alignment vertical="center"/>
    </xf>
    <xf numFmtId="0" fontId="37" fillId="25" borderId="0" xfId="78" applyFont="1" applyFill="1"/>
    <xf numFmtId="0" fontId="39" fillId="0" borderId="60" xfId="0" applyFont="1" applyBorder="1"/>
    <xf numFmtId="0" fontId="25" fillId="0" borderId="50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71" fillId="0" borderId="0" xfId="0" applyFont="1" applyBorder="1"/>
    <xf numFmtId="0" fontId="31" fillId="0" borderId="0" xfId="0" applyFont="1" applyBorder="1"/>
    <xf numFmtId="0" fontId="56" fillId="0" borderId="25" xfId="0" applyFont="1" applyBorder="1" applyAlignment="1">
      <alignment horizontal="center"/>
    </xf>
    <xf numFmtId="0" fontId="56" fillId="0" borderId="109" xfId="0" applyFont="1" applyBorder="1" applyAlignment="1">
      <alignment horizontal="center"/>
    </xf>
    <xf numFmtId="0" fontId="56" fillId="0" borderId="26" xfId="0" applyFont="1" applyBorder="1" applyAlignment="1">
      <alignment horizontal="center"/>
    </xf>
    <xf numFmtId="0" fontId="34" fillId="0" borderId="65" xfId="0" applyFont="1" applyBorder="1" applyAlignment="1">
      <alignment horizontal="center" vertical="center"/>
    </xf>
    <xf numFmtId="0" fontId="34" fillId="0" borderId="60" xfId="0" applyFont="1" applyBorder="1" applyAlignment="1">
      <alignment horizontal="center" vertical="center"/>
    </xf>
    <xf numFmtId="0" fontId="34" fillId="0" borderId="109" xfId="0" applyFont="1" applyBorder="1" applyAlignment="1">
      <alignment horizontal="center" vertical="center"/>
    </xf>
    <xf numFmtId="0" fontId="38" fillId="0" borderId="109" xfId="0" applyFont="1" applyBorder="1" applyAlignment="1">
      <alignment horizontal="center" vertical="center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60" xfId="78" applyNumberFormat="1" applyFont="1" applyBorder="1" applyAlignment="1">
      <alignment horizontal="center" vertical="center" wrapText="1"/>
    </xf>
    <xf numFmtId="3" fontId="25" fillId="0" borderId="60" xfId="78" applyNumberFormat="1" applyFont="1" applyBorder="1" applyAlignment="1">
      <alignment horizontal="center" vertical="center" wrapText="1"/>
    </xf>
    <xf numFmtId="0" fontId="30" fillId="0" borderId="60" xfId="78" applyFont="1" applyBorder="1"/>
    <xf numFmtId="0" fontId="30" fillId="0" borderId="60" xfId="78" applyFont="1" applyBorder="1" applyAlignment="1">
      <alignment vertical="center"/>
    </xf>
    <xf numFmtId="0" fontId="35" fillId="0" borderId="60" xfId="78" applyFont="1" applyBorder="1"/>
    <xf numFmtId="0" fontId="37" fillId="0" borderId="60" xfId="78" applyFont="1" applyBorder="1"/>
    <xf numFmtId="0" fontId="28" fillId="0" borderId="60" xfId="78" applyFont="1" applyBorder="1"/>
    <xf numFmtId="0" fontId="60" fillId="0" borderId="60" xfId="78" applyFont="1" applyBorder="1"/>
    <xf numFmtId="0" fontId="61" fillId="0" borderId="60" xfId="78" applyFont="1" applyBorder="1"/>
    <xf numFmtId="3" fontId="53" fillId="0" borderId="24" xfId="0" applyNumberFormat="1" applyFont="1" applyBorder="1" applyAlignment="1">
      <alignment vertical="center"/>
    </xf>
    <xf numFmtId="0" fontId="53" fillId="0" borderId="24" xfId="0" applyFont="1" applyBorder="1" applyAlignment="1">
      <alignment vertical="center"/>
    </xf>
    <xf numFmtId="0" fontId="85" fillId="0" borderId="0" xfId="0" applyFont="1" applyBorder="1"/>
    <xf numFmtId="0" fontId="25" fillId="0" borderId="10" xfId="0" applyFont="1" applyBorder="1" applyAlignment="1">
      <alignment horizontal="center" vertical="center"/>
    </xf>
    <xf numFmtId="3" fontId="25" fillId="0" borderId="80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3" fontId="69" fillId="0" borderId="48" xfId="0" applyNumberFormat="1" applyFont="1" applyBorder="1" applyAlignment="1">
      <alignment horizontal="center" vertical="center" wrapText="1"/>
    </xf>
    <xf numFmtId="3" fontId="69" fillId="0" borderId="40" xfId="0" applyNumberFormat="1" applyFont="1" applyBorder="1" applyAlignment="1">
      <alignment horizontal="center" vertical="center" wrapText="1"/>
    </xf>
    <xf numFmtId="3" fontId="69" fillId="0" borderId="23" xfId="0" applyNumberFormat="1" applyFont="1" applyBorder="1" applyAlignment="1">
      <alignment horizontal="center" vertical="center" wrapText="1"/>
    </xf>
    <xf numFmtId="3" fontId="69" fillId="0" borderId="19" xfId="0" applyNumberFormat="1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/>
    </xf>
    <xf numFmtId="0" fontId="64" fillId="0" borderId="24" xfId="0" applyFont="1" applyBorder="1"/>
    <xf numFmtId="3" fontId="25" fillId="0" borderId="24" xfId="0" applyNumberFormat="1" applyFont="1" applyBorder="1"/>
    <xf numFmtId="3" fontId="64" fillId="0" borderId="24" xfId="0" applyNumberFormat="1" applyFont="1" applyBorder="1"/>
    <xf numFmtId="3" fontId="28" fillId="0" borderId="24" xfId="0" applyNumberFormat="1" applyFont="1" applyBorder="1"/>
    <xf numFmtId="0" fontId="28" fillId="0" borderId="24" xfId="0" applyFont="1" applyBorder="1"/>
    <xf numFmtId="0" fontId="35" fillId="0" borderId="24" xfId="0" applyFont="1" applyBorder="1"/>
    <xf numFmtId="0" fontId="57" fillId="0" borderId="24" xfId="0" applyFont="1" applyBorder="1"/>
    <xf numFmtId="3" fontId="58" fillId="0" borderId="24" xfId="0" applyNumberFormat="1" applyFont="1" applyBorder="1"/>
    <xf numFmtId="3" fontId="35" fillId="0" borderId="24" xfId="0" applyNumberFormat="1" applyFont="1" applyBorder="1"/>
    <xf numFmtId="16" fontId="57" fillId="0" borderId="24" xfId="0" applyNumberFormat="1" applyFont="1" applyBorder="1"/>
    <xf numFmtId="3" fontId="57" fillId="0" borderId="24" xfId="0" applyNumberFormat="1" applyFont="1" applyBorder="1"/>
    <xf numFmtId="0" fontId="38" fillId="0" borderId="24" xfId="0" applyFont="1" applyBorder="1"/>
    <xf numFmtId="0" fontId="66" fillId="0" borderId="24" xfId="0" applyFont="1" applyBorder="1"/>
    <xf numFmtId="3" fontId="39" fillId="0" borderId="24" xfId="0" applyNumberFormat="1" applyFont="1" applyBorder="1"/>
    <xf numFmtId="3" fontId="30" fillId="0" borderId="24" xfId="0" applyNumberFormat="1" applyFont="1" applyBorder="1"/>
    <xf numFmtId="3" fontId="59" fillId="0" borderId="24" xfId="0" applyNumberFormat="1" applyFont="1" applyBorder="1"/>
    <xf numFmtId="0" fontId="34" fillId="0" borderId="24" xfId="0" applyFont="1" applyBorder="1"/>
    <xf numFmtId="0" fontId="25" fillId="0" borderId="24" xfId="0" applyFont="1" applyBorder="1"/>
    <xf numFmtId="0" fontId="30" fillId="0" borderId="24" xfId="0" applyFont="1" applyBorder="1"/>
    <xf numFmtId="0" fontId="25" fillId="0" borderId="24" xfId="0" applyFont="1" applyBorder="1" applyAlignment="1">
      <alignment wrapText="1"/>
    </xf>
    <xf numFmtId="3" fontId="57" fillId="0" borderId="24" xfId="0" applyNumberFormat="1" applyFont="1" applyBorder="1" applyAlignment="1">
      <alignment wrapText="1"/>
    </xf>
    <xf numFmtId="3" fontId="58" fillId="0" borderId="24" xfId="0" applyNumberFormat="1" applyFont="1" applyBorder="1" applyAlignment="1">
      <alignment wrapText="1"/>
    </xf>
    <xf numFmtId="3" fontId="59" fillId="0" borderId="24" xfId="0" applyNumberFormat="1" applyFont="1" applyBorder="1" applyAlignment="1">
      <alignment wrapText="1"/>
    </xf>
    <xf numFmtId="0" fontId="28" fillId="0" borderId="25" xfId="0" applyFont="1" applyBorder="1" applyAlignment="1">
      <alignment horizontal="center"/>
    </xf>
    <xf numFmtId="0" fontId="25" fillId="0" borderId="25" xfId="0" applyFont="1" applyBorder="1"/>
    <xf numFmtId="3" fontId="59" fillId="0" borderId="25" xfId="0" applyNumberFormat="1" applyFont="1" applyBorder="1"/>
    <xf numFmtId="3" fontId="30" fillId="0" borderId="25" xfId="0" applyNumberFormat="1" applyFont="1" applyBorder="1"/>
    <xf numFmtId="0" fontId="28" fillId="0" borderId="25" xfId="0" applyFont="1" applyBorder="1"/>
    <xf numFmtId="0" fontId="35" fillId="0" borderId="25" xfId="0" applyFont="1" applyBorder="1"/>
    <xf numFmtId="3" fontId="30" fillId="0" borderId="32" xfId="0" applyNumberFormat="1" applyFont="1" applyFill="1" applyBorder="1"/>
    <xf numFmtId="0" fontId="28" fillId="0" borderId="32" xfId="0" applyFont="1" applyBorder="1"/>
    <xf numFmtId="0" fontId="35" fillId="0" borderId="56" xfId="0" applyFont="1" applyBorder="1"/>
    <xf numFmtId="3" fontId="69" fillId="0" borderId="24" xfId="0" applyNumberFormat="1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/>
    </xf>
    <xf numFmtId="3" fontId="93" fillId="0" borderId="48" xfId="0" applyNumberFormat="1" applyFont="1" applyBorder="1" applyAlignment="1">
      <alignment horizontal="center" vertical="center" wrapText="1"/>
    </xf>
    <xf numFmtId="3" fontId="93" fillId="0" borderId="40" xfId="0" applyNumberFormat="1" applyFont="1" applyBorder="1" applyAlignment="1">
      <alignment horizontal="center" vertical="center" wrapText="1"/>
    </xf>
    <xf numFmtId="3" fontId="30" fillId="0" borderId="80" xfId="0" applyNumberFormat="1" applyFont="1" applyBorder="1" applyAlignment="1">
      <alignment horizontal="center" vertical="center"/>
    </xf>
    <xf numFmtId="3" fontId="69" fillId="0" borderId="25" xfId="0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/>
    </xf>
    <xf numFmtId="0" fontId="59" fillId="0" borderId="24" xfId="0" applyFont="1" applyBorder="1"/>
    <xf numFmtId="0" fontId="58" fillId="0" borderId="24" xfId="0" applyFont="1" applyBorder="1"/>
    <xf numFmtId="3" fontId="58" fillId="0" borderId="24" xfId="74" applyNumberFormat="1" applyFont="1" applyBorder="1"/>
    <xf numFmtId="0" fontId="137" fillId="0" borderId="24" xfId="0" applyFont="1" applyBorder="1"/>
    <xf numFmtId="0" fontId="39" fillId="0" borderId="24" xfId="0" applyFont="1" applyBorder="1"/>
    <xf numFmtId="3" fontId="137" fillId="0" borderId="24" xfId="74" applyNumberFormat="1" applyFont="1" applyBorder="1"/>
    <xf numFmtId="3" fontId="139" fillId="0" borderId="24" xfId="0" applyNumberFormat="1" applyFont="1" applyBorder="1"/>
    <xf numFmtId="0" fontId="35" fillId="0" borderId="24" xfId="0" applyFont="1" applyBorder="1" applyAlignment="1">
      <alignment horizontal="center" vertical="center"/>
    </xf>
    <xf numFmtId="0" fontId="58" fillId="0" borderId="24" xfId="0" applyFont="1" applyBorder="1" applyAlignment="1">
      <alignment vertical="center" wrapText="1"/>
    </xf>
    <xf numFmtId="3" fontId="58" fillId="0" borderId="24" xfId="74" applyNumberFormat="1" applyFont="1" applyBorder="1" applyAlignment="1">
      <alignment vertical="center"/>
    </xf>
    <xf numFmtId="0" fontId="30" fillId="0" borderId="24" xfId="0" applyFont="1" applyBorder="1" applyAlignment="1">
      <alignment wrapText="1"/>
    </xf>
    <xf numFmtId="0" fontId="58" fillId="0" borderId="24" xfId="0" applyFont="1" applyBorder="1" applyAlignment="1">
      <alignment wrapText="1"/>
    </xf>
    <xf numFmtId="0" fontId="35" fillId="0" borderId="24" xfId="0" applyFont="1" applyBorder="1" applyAlignment="1">
      <alignment wrapText="1"/>
    </xf>
    <xf numFmtId="3" fontId="58" fillId="0" borderId="24" xfId="0" applyNumberFormat="1" applyFont="1" applyFill="1" applyBorder="1"/>
    <xf numFmtId="3" fontId="59" fillId="0" borderId="24" xfId="0" applyNumberFormat="1" applyFont="1" applyFill="1" applyBorder="1"/>
    <xf numFmtId="3" fontId="66" fillId="0" borderId="24" xfId="0" applyNumberFormat="1" applyFont="1" applyBorder="1"/>
    <xf numFmtId="0" fontId="35" fillId="0" borderId="25" xfId="0" applyFont="1" applyBorder="1" applyAlignment="1">
      <alignment horizontal="center" vertical="center"/>
    </xf>
    <xf numFmtId="0" fontId="30" fillId="0" borderId="25" xfId="0" applyFont="1" applyBorder="1"/>
    <xf numFmtId="0" fontId="35" fillId="0" borderId="109" xfId="0" applyFont="1" applyBorder="1" applyAlignment="1">
      <alignment horizontal="center" vertical="center"/>
    </xf>
    <xf numFmtId="0" fontId="28" fillId="0" borderId="56" xfId="0" applyFont="1" applyBorder="1"/>
    <xf numFmtId="3" fontId="57" fillId="0" borderId="24" xfId="74" applyNumberFormat="1" applyFont="1" applyBorder="1"/>
    <xf numFmtId="3" fontId="68" fillId="0" borderId="24" xfId="0" applyNumberFormat="1" applyFont="1" applyBorder="1"/>
    <xf numFmtId="3" fontId="38" fillId="0" borderId="24" xfId="0" applyNumberFormat="1" applyFont="1" applyBorder="1"/>
    <xf numFmtId="0" fontId="68" fillId="0" borderId="24" xfId="0" applyFont="1" applyBorder="1"/>
    <xf numFmtId="3" fontId="34" fillId="0" borderId="24" xfId="0" applyNumberFormat="1" applyFont="1" applyBorder="1"/>
    <xf numFmtId="3" fontId="25" fillId="0" borderId="24" xfId="0" applyNumberFormat="1" applyFont="1" applyFill="1" applyBorder="1"/>
    <xf numFmtId="0" fontId="57" fillId="0" borderId="24" xfId="0" applyFont="1" applyBorder="1" applyAlignment="1">
      <alignment wrapText="1"/>
    </xf>
    <xf numFmtId="3" fontId="64" fillId="0" borderId="24" xfId="0" applyNumberFormat="1" applyFont="1" applyBorder="1" applyAlignment="1">
      <alignment wrapText="1"/>
    </xf>
    <xf numFmtId="3" fontId="64" fillId="0" borderId="25" xfId="0" applyNumberFormat="1" applyFont="1" applyBorder="1"/>
    <xf numFmtId="3" fontId="25" fillId="0" borderId="25" xfId="0" applyNumberFormat="1" applyFont="1" applyBorder="1"/>
    <xf numFmtId="3" fontId="25" fillId="0" borderId="32" xfId="0" applyNumberFormat="1" applyFont="1" applyFill="1" applyBorder="1"/>
    <xf numFmtId="0" fontId="77" fillId="0" borderId="24" xfId="0" applyFont="1" applyBorder="1" applyAlignment="1">
      <alignment horizontal="left" vertical="center"/>
    </xf>
    <xf numFmtId="0" fontId="33" fillId="0" borderId="24" xfId="0" applyFont="1" applyBorder="1"/>
    <xf numFmtId="0" fontId="25" fillId="0" borderId="24" xfId="0" applyFont="1" applyBorder="1" applyAlignment="1">
      <alignment horizontal="left" vertical="center"/>
    </xf>
    <xf numFmtId="0" fontId="36" fillId="0" borderId="24" xfId="0" applyFont="1" applyBorder="1"/>
    <xf numFmtId="0" fontId="34" fillId="0" borderId="24" xfId="0" applyFont="1" applyBorder="1" applyAlignment="1">
      <alignment horizontal="left" vertical="center"/>
    </xf>
    <xf numFmtId="3" fontId="28" fillId="25" borderId="24" xfId="0" applyNumberFormat="1" applyFont="1" applyFill="1" applyBorder="1"/>
    <xf numFmtId="0" fontId="28" fillId="0" borderId="24" xfId="0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 wrapText="1"/>
    </xf>
    <xf numFmtId="3" fontId="28" fillId="0" borderId="24" xfId="0" applyNumberFormat="1" applyFont="1" applyBorder="1" applyAlignment="1">
      <alignment vertical="center" wrapText="1"/>
    </xf>
    <xf numFmtId="0" fontId="33" fillId="0" borderId="24" xfId="0" applyFont="1" applyBorder="1" applyAlignment="1">
      <alignment wrapText="1"/>
    </xf>
    <xf numFmtId="0" fontId="28" fillId="0" borderId="24" xfId="0" applyFont="1" applyBorder="1" applyAlignment="1">
      <alignment wrapText="1"/>
    </xf>
    <xf numFmtId="0" fontId="77" fillId="0" borderId="24" xfId="0" applyFont="1" applyBorder="1"/>
    <xf numFmtId="0" fontId="157" fillId="0" borderId="24" xfId="0" applyFont="1" applyBorder="1"/>
    <xf numFmtId="0" fontId="25" fillId="0" borderId="25" xfId="0" applyFont="1" applyBorder="1" applyAlignment="1">
      <alignment horizontal="left" vertical="center"/>
    </xf>
    <xf numFmtId="3" fontId="35" fillId="0" borderId="25" xfId="0" applyNumberFormat="1" applyFont="1" applyBorder="1"/>
    <xf numFmtId="3" fontId="28" fillId="0" borderId="25" xfId="0" applyNumberFormat="1" applyFont="1" applyBorder="1"/>
    <xf numFmtId="0" fontId="33" fillId="0" borderId="25" xfId="0" applyFont="1" applyBorder="1"/>
    <xf numFmtId="0" fontId="28" fillId="0" borderId="45" xfId="0" applyFont="1" applyBorder="1" applyAlignment="1">
      <alignment horizontal="center"/>
    </xf>
    <xf numFmtId="0" fontId="34" fillId="0" borderId="45" xfId="0" applyFont="1" applyBorder="1" applyAlignment="1">
      <alignment horizontal="left" vertical="center"/>
    </xf>
    <xf numFmtId="3" fontId="28" fillId="25" borderId="45" xfId="0" applyNumberFormat="1" applyFont="1" applyFill="1" applyBorder="1"/>
    <xf numFmtId="0" fontId="36" fillId="0" borderId="45" xfId="0" applyFont="1" applyBorder="1"/>
    <xf numFmtId="0" fontId="25" fillId="0" borderId="32" xfId="0" applyFont="1" applyBorder="1" applyAlignment="1">
      <alignment horizontal="left" vertical="center"/>
    </xf>
    <xf numFmtId="0" fontId="36" fillId="0" borderId="32" xfId="0" applyFont="1" applyBorder="1"/>
    <xf numFmtId="0" fontId="36" fillId="0" borderId="56" xfId="0" applyFont="1" applyBorder="1"/>
    <xf numFmtId="0" fontId="36" fillId="0" borderId="25" xfId="0" applyFont="1" applyBorder="1"/>
    <xf numFmtId="3" fontId="30" fillId="0" borderId="45" xfId="0" applyNumberFormat="1" applyFont="1" applyBorder="1"/>
    <xf numFmtId="0" fontId="28" fillId="0" borderId="45" xfId="0" applyFont="1" applyBorder="1" applyAlignment="1">
      <alignment horizontal="left" vertical="center"/>
    </xf>
    <xf numFmtId="3" fontId="28" fillId="0" borderId="45" xfId="0" applyNumberFormat="1" applyFont="1" applyBorder="1"/>
    <xf numFmtId="0" fontId="33" fillId="0" borderId="45" xfId="0" applyFont="1" applyBorder="1"/>
    <xf numFmtId="0" fontId="25" fillId="0" borderId="45" xfId="0" applyFont="1" applyBorder="1"/>
    <xf numFmtId="3" fontId="25" fillId="0" borderId="45" xfId="0" applyNumberFormat="1" applyFont="1" applyBorder="1"/>
    <xf numFmtId="0" fontId="33" fillId="0" borderId="32" xfId="0" applyFont="1" applyBorder="1"/>
    <xf numFmtId="0" fontId="33" fillId="0" borderId="56" xfId="0" applyFont="1" applyBorder="1"/>
    <xf numFmtId="0" fontId="28" fillId="0" borderId="26" xfId="0" applyFont="1" applyBorder="1" applyAlignment="1">
      <alignment horizontal="center"/>
    </xf>
    <xf numFmtId="0" fontId="25" fillId="0" borderId="26" xfId="0" applyFont="1" applyBorder="1"/>
    <xf numFmtId="3" fontId="25" fillId="0" borderId="26" xfId="0" applyNumberFormat="1" applyFont="1" applyBorder="1"/>
    <xf numFmtId="0" fontId="33" fillId="0" borderId="26" xfId="0" applyFont="1" applyBorder="1"/>
    <xf numFmtId="0" fontId="25" fillId="0" borderId="32" xfId="0" applyFont="1" applyBorder="1" applyAlignment="1">
      <alignment horizontal="left"/>
    </xf>
    <xf numFmtId="0" fontId="35" fillId="0" borderId="32" xfId="0" applyFont="1" applyBorder="1"/>
    <xf numFmtId="0" fontId="34" fillId="0" borderId="24" xfId="0" applyFont="1" applyBorder="1" applyAlignment="1">
      <alignment horizontal="center" vertical="center"/>
    </xf>
    <xf numFmtId="0" fontId="25" fillId="0" borderId="24" xfId="0" applyFont="1" applyBorder="1" applyAlignment="1">
      <alignment horizontal="left" wrapText="1"/>
    </xf>
    <xf numFmtId="0" fontId="80" fillId="0" borderId="24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39" fillId="0" borderId="0" xfId="0" applyFont="1" applyBorder="1"/>
    <xf numFmtId="0" fontId="62" fillId="0" borderId="24" xfId="0" applyFont="1" applyBorder="1" applyAlignment="1">
      <alignment wrapText="1"/>
    </xf>
    <xf numFmtId="0" fontId="80" fillId="0" borderId="24" xfId="0" applyFont="1" applyBorder="1" applyAlignment="1">
      <alignment wrapText="1"/>
    </xf>
    <xf numFmtId="3" fontId="80" fillId="0" borderId="24" xfId="0" applyNumberFormat="1" applyFont="1" applyBorder="1" applyAlignment="1">
      <alignment wrapText="1"/>
    </xf>
    <xf numFmtId="3" fontId="28" fillId="0" borderId="24" xfId="0" applyNumberFormat="1" applyFont="1" applyBorder="1" applyAlignment="1">
      <alignment wrapText="1"/>
    </xf>
    <xf numFmtId="3" fontId="25" fillId="0" borderId="24" xfId="0" applyNumberFormat="1" applyFont="1" applyBorder="1" applyAlignment="1">
      <alignment vertical="center"/>
    </xf>
    <xf numFmtId="3" fontId="28" fillId="0" borderId="24" xfId="0" applyNumberFormat="1" applyFont="1" applyBorder="1" applyAlignment="1">
      <alignment vertical="center"/>
    </xf>
    <xf numFmtId="0" fontId="34" fillId="0" borderId="25" xfId="0" applyFont="1" applyBorder="1" applyAlignment="1">
      <alignment horizontal="center" vertical="center"/>
    </xf>
    <xf numFmtId="0" fontId="28" fillId="0" borderId="25" xfId="0" applyFont="1" applyBorder="1" applyAlignment="1">
      <alignment wrapText="1"/>
    </xf>
    <xf numFmtId="0" fontId="25" fillId="0" borderId="32" xfId="0" applyFont="1" applyBorder="1" applyAlignment="1">
      <alignment wrapText="1"/>
    </xf>
    <xf numFmtId="3" fontId="28" fillId="0" borderId="32" xfId="0" applyNumberFormat="1" applyFont="1" applyBorder="1"/>
    <xf numFmtId="0" fontId="25" fillId="0" borderId="25" xfId="0" applyFont="1" applyBorder="1" applyAlignment="1">
      <alignment wrapText="1"/>
    </xf>
    <xf numFmtId="0" fontId="34" fillId="0" borderId="26" xfId="0" applyFont="1" applyBorder="1" applyAlignment="1">
      <alignment horizontal="center" vertical="center"/>
    </xf>
    <xf numFmtId="0" fontId="28" fillId="0" borderId="26" xfId="0" applyFont="1" applyBorder="1" applyAlignment="1">
      <alignment wrapText="1"/>
    </xf>
    <xf numFmtId="0" fontId="28" fillId="0" borderId="26" xfId="0" applyFont="1" applyBorder="1"/>
    <xf numFmtId="3" fontId="28" fillId="0" borderId="26" xfId="0" applyNumberFormat="1" applyFont="1" applyBorder="1"/>
    <xf numFmtId="0" fontId="35" fillId="0" borderId="26" xfId="0" applyFont="1" applyBorder="1"/>
    <xf numFmtId="0" fontId="34" fillId="0" borderId="25" xfId="0" applyFont="1" applyBorder="1"/>
    <xf numFmtId="0" fontId="39" fillId="0" borderId="25" xfId="0" applyFont="1" applyBorder="1"/>
    <xf numFmtId="0" fontId="34" fillId="0" borderId="45" xfId="0" applyFont="1" applyBorder="1" applyAlignment="1">
      <alignment horizontal="center" vertical="center"/>
    </xf>
    <xf numFmtId="0" fontId="25" fillId="0" borderId="45" xfId="0" applyFont="1" applyBorder="1" applyAlignment="1">
      <alignment wrapText="1"/>
    </xf>
    <xf numFmtId="0" fontId="39" fillId="0" borderId="45" xfId="0" applyFont="1" applyBorder="1"/>
    <xf numFmtId="0" fontId="39" fillId="0" borderId="32" xfId="0" applyFont="1" applyBorder="1"/>
    <xf numFmtId="0" fontId="39" fillId="0" borderId="56" xfId="0" applyFont="1" applyBorder="1"/>
    <xf numFmtId="0" fontId="25" fillId="0" borderId="26" xfId="0" applyFont="1" applyBorder="1" applyAlignment="1">
      <alignment wrapText="1"/>
    </xf>
    <xf numFmtId="0" fontId="34" fillId="0" borderId="26" xfId="0" applyFont="1" applyBorder="1"/>
    <xf numFmtId="0" fontId="39" fillId="0" borderId="26" xfId="0" applyFont="1" applyBorder="1"/>
    <xf numFmtId="0" fontId="28" fillId="0" borderId="109" xfId="0" applyFont="1" applyBorder="1" applyAlignment="1">
      <alignment horizontal="center" vertical="center"/>
    </xf>
    <xf numFmtId="3" fontId="34" fillId="0" borderId="32" xfId="0" applyNumberFormat="1" applyFont="1" applyBorder="1"/>
    <xf numFmtId="3" fontId="28" fillId="0" borderId="25" xfId="0" applyNumberFormat="1" applyFont="1" applyBorder="1" applyAlignment="1">
      <alignment vertical="center"/>
    </xf>
    <xf numFmtId="0" fontId="28" fillId="0" borderId="45" xfId="0" applyFont="1" applyBorder="1"/>
    <xf numFmtId="0" fontId="35" fillId="0" borderId="45" xfId="0" applyFont="1" applyBorder="1"/>
    <xf numFmtId="3" fontId="28" fillId="0" borderId="25" xfId="0" applyNumberFormat="1" applyFont="1" applyBorder="1" applyAlignment="1">
      <alignment wrapText="1"/>
    </xf>
    <xf numFmtId="0" fontId="80" fillId="0" borderId="25" xfId="0" applyFont="1" applyBorder="1" applyAlignment="1">
      <alignment wrapText="1"/>
    </xf>
    <xf numFmtId="0" fontId="34" fillId="0" borderId="45" xfId="0" applyFont="1" applyBorder="1" applyAlignment="1">
      <alignment wrapText="1"/>
    </xf>
    <xf numFmtId="3" fontId="34" fillId="0" borderId="45" xfId="0" applyNumberFormat="1" applyFont="1" applyBorder="1"/>
    <xf numFmtId="0" fontId="34" fillId="0" borderId="45" xfId="0" applyFont="1" applyBorder="1"/>
    <xf numFmtId="0" fontId="34" fillId="0" borderId="32" xfId="0" applyFont="1" applyBorder="1"/>
    <xf numFmtId="0" fontId="34" fillId="0" borderId="27" xfId="0" applyFont="1" applyBorder="1"/>
    <xf numFmtId="0" fontId="39" fillId="0" borderId="27" xfId="0" applyFont="1" applyBorder="1"/>
    <xf numFmtId="3" fontId="69" fillId="0" borderId="43" xfId="0" applyNumberFormat="1" applyFont="1" applyBorder="1" applyAlignment="1">
      <alignment horizontal="center" vertical="center" wrapText="1"/>
    </xf>
    <xf numFmtId="3" fontId="69" fillId="0" borderId="31" xfId="0" applyNumberFormat="1" applyFont="1" applyBorder="1" applyAlignment="1">
      <alignment horizontal="center" vertical="center" wrapText="1"/>
    </xf>
    <xf numFmtId="3" fontId="69" fillId="0" borderId="44" xfId="0" applyNumberFormat="1" applyFont="1" applyBorder="1" applyAlignment="1">
      <alignment horizontal="center" vertical="center" wrapText="1"/>
    </xf>
    <xf numFmtId="3" fontId="109" fillId="0" borderId="25" xfId="0" applyNumberFormat="1" applyFont="1" applyBorder="1" applyAlignment="1">
      <alignment horizontal="center" vertical="center" wrapText="1"/>
    </xf>
    <xf numFmtId="3" fontId="69" fillId="0" borderId="114" xfId="0" applyNumberFormat="1" applyFont="1" applyBorder="1" applyAlignment="1">
      <alignment horizontal="center" vertical="center" wrapText="1"/>
    </xf>
    <xf numFmtId="3" fontId="69" fillId="0" borderId="115" xfId="0" applyNumberFormat="1" applyFont="1" applyBorder="1" applyAlignment="1">
      <alignment horizontal="center" vertical="center" wrapText="1"/>
    </xf>
    <xf numFmtId="0" fontId="56" fillId="0" borderId="24" xfId="0" applyFont="1" applyBorder="1" applyAlignment="1">
      <alignment horizontal="center"/>
    </xf>
    <xf numFmtId="0" fontId="140" fillId="0" borderId="24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40" fillId="0" borderId="24" xfId="0" applyFont="1" applyBorder="1"/>
    <xf numFmtId="0" fontId="56" fillId="0" borderId="24" xfId="0" applyFont="1" applyBorder="1" applyAlignment="1">
      <alignment horizontal="center" vertical="center"/>
    </xf>
    <xf numFmtId="0" fontId="109" fillId="0" borderId="24" xfId="0" applyFont="1" applyBorder="1" applyAlignment="1">
      <alignment vertical="center" wrapText="1"/>
    </xf>
    <xf numFmtId="3" fontId="31" fillId="0" borderId="24" xfId="0" applyNumberFormat="1" applyFont="1" applyBorder="1" applyAlignment="1">
      <alignment vertical="center"/>
    </xf>
    <xf numFmtId="0" fontId="31" fillId="0" borderId="24" xfId="0" applyFont="1" applyBorder="1" applyAlignment="1">
      <alignment wrapText="1"/>
    </xf>
    <xf numFmtId="0" fontId="31" fillId="0" borderId="24" xfId="0" applyFont="1" applyBorder="1" applyAlignment="1">
      <alignment horizontal="left" wrapText="1"/>
    </xf>
    <xf numFmtId="0" fontId="31" fillId="25" borderId="24" xfId="0" applyFont="1" applyFill="1" applyBorder="1" applyAlignment="1">
      <alignment horizontal="left" wrapText="1"/>
    </xf>
    <xf numFmtId="3" fontId="31" fillId="25" borderId="24" xfId="0" applyNumberFormat="1" applyFont="1" applyFill="1" applyBorder="1"/>
    <xf numFmtId="0" fontId="109" fillId="0" borderId="24" xfId="0" applyFont="1" applyBorder="1" applyAlignment="1">
      <alignment wrapText="1"/>
    </xf>
    <xf numFmtId="0" fontId="31" fillId="0" borderId="24" xfId="0" applyFont="1" applyBorder="1" applyAlignment="1">
      <alignment vertical="center" wrapText="1"/>
    </xf>
    <xf numFmtId="3" fontId="33" fillId="0" borderId="24" xfId="0" applyNumberFormat="1" applyFont="1" applyBorder="1"/>
    <xf numFmtId="3" fontId="31" fillId="0" borderId="24" xfId="0" applyNumberFormat="1" applyFont="1" applyFill="1" applyBorder="1" applyAlignment="1">
      <alignment vertical="center"/>
    </xf>
    <xf numFmtId="0" fontId="31" fillId="25" borderId="24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31" fillId="25" borderId="24" xfId="0" applyFont="1" applyFill="1" applyBorder="1" applyAlignment="1">
      <alignment vertical="center" wrapText="1"/>
    </xf>
    <xf numFmtId="3" fontId="109" fillId="0" borderId="24" xfId="0" applyNumberFormat="1" applyFont="1" applyBorder="1" applyAlignment="1">
      <alignment vertical="center"/>
    </xf>
    <xf numFmtId="0" fontId="56" fillId="0" borderId="24" xfId="0" applyFont="1" applyBorder="1" applyAlignment="1">
      <alignment wrapText="1"/>
    </xf>
    <xf numFmtId="3" fontId="56" fillId="0" borderId="24" xfId="0" applyNumberFormat="1" applyFont="1" applyBorder="1"/>
    <xf numFmtId="0" fontId="153" fillId="0" borderId="24" xfId="0" applyFont="1" applyBorder="1" applyAlignment="1">
      <alignment wrapText="1"/>
    </xf>
    <xf numFmtId="3" fontId="29" fillId="0" borderId="24" xfId="0" applyNumberFormat="1" applyFont="1" applyBorder="1"/>
    <xf numFmtId="3" fontId="29" fillId="0" borderId="24" xfId="0" applyNumberFormat="1" applyFont="1" applyBorder="1" applyAlignment="1">
      <alignment vertical="center"/>
    </xf>
    <xf numFmtId="0" fontId="31" fillId="25" borderId="25" xfId="0" applyFont="1" applyFill="1" applyBorder="1" applyAlignment="1">
      <alignment horizontal="left" wrapText="1"/>
    </xf>
    <xf numFmtId="3" fontId="31" fillId="25" borderId="25" xfId="0" applyNumberFormat="1" applyFont="1" applyFill="1" applyBorder="1"/>
    <xf numFmtId="0" fontId="40" fillId="0" borderId="25" xfId="0" applyFont="1" applyBorder="1"/>
    <xf numFmtId="0" fontId="56" fillId="0" borderId="45" xfId="0" applyFont="1" applyBorder="1" applyAlignment="1">
      <alignment horizontal="center"/>
    </xf>
    <xf numFmtId="0" fontId="109" fillId="0" borderId="45" xfId="0" applyFont="1" applyBorder="1" applyAlignment="1">
      <alignment wrapText="1"/>
    </xf>
    <xf numFmtId="3" fontId="109" fillId="0" borderId="45" xfId="0" applyNumberFormat="1" applyFont="1" applyBorder="1"/>
    <xf numFmtId="0" fontId="40" fillId="0" borderId="45" xfId="0" applyFont="1" applyBorder="1"/>
    <xf numFmtId="0" fontId="109" fillId="0" borderId="32" xfId="0" applyFont="1" applyBorder="1" applyAlignment="1">
      <alignment wrapText="1"/>
    </xf>
    <xf numFmtId="0" fontId="40" fillId="0" borderId="32" xfId="0" applyFont="1" applyBorder="1"/>
    <xf numFmtId="0" fontId="40" fillId="0" borderId="56" xfId="0" applyFont="1" applyBorder="1"/>
    <xf numFmtId="0" fontId="40" fillId="0" borderId="26" xfId="0" applyFont="1" applyBorder="1"/>
    <xf numFmtId="0" fontId="31" fillId="0" borderId="25" xfId="0" applyFont="1" applyBorder="1" applyAlignment="1">
      <alignment wrapText="1"/>
    </xf>
    <xf numFmtId="3" fontId="31" fillId="0" borderId="25" xfId="0" applyNumberFormat="1" applyFont="1" applyBorder="1" applyAlignment="1">
      <alignment vertical="center"/>
    </xf>
    <xf numFmtId="0" fontId="31" fillId="0" borderId="45" xfId="0" applyFont="1" applyBorder="1" applyAlignment="1">
      <alignment wrapText="1"/>
    </xf>
    <xf numFmtId="3" fontId="31" fillId="0" borderId="45" xfId="0" applyNumberFormat="1" applyFont="1" applyBorder="1"/>
    <xf numFmtId="0" fontId="56" fillId="0" borderId="25" xfId="0" applyFont="1" applyBorder="1" applyAlignment="1">
      <alignment wrapText="1"/>
    </xf>
    <xf numFmtId="3" fontId="56" fillId="0" borderId="25" xfId="0" applyNumberFormat="1" applyFont="1" applyBorder="1"/>
    <xf numFmtId="3" fontId="29" fillId="0" borderId="45" xfId="0" applyNumberFormat="1" applyFont="1" applyBorder="1"/>
    <xf numFmtId="0" fontId="29" fillId="0" borderId="45" xfId="0" applyFont="1" applyBorder="1" applyAlignment="1">
      <alignment wrapText="1"/>
    </xf>
    <xf numFmtId="0" fontId="29" fillId="0" borderId="32" xfId="0" applyFont="1" applyBorder="1" applyAlignment="1">
      <alignment wrapText="1"/>
    </xf>
    <xf numFmtId="0" fontId="109" fillId="0" borderId="26" xfId="0" applyFont="1" applyBorder="1" applyAlignment="1">
      <alignment vertical="center" wrapText="1"/>
    </xf>
    <xf numFmtId="0" fontId="109" fillId="0" borderId="32" xfId="0" applyFont="1" applyBorder="1" applyAlignment="1">
      <alignment vertical="center" wrapText="1"/>
    </xf>
    <xf numFmtId="3" fontId="44" fillId="0" borderId="25" xfId="0" applyNumberFormat="1" applyFont="1" applyBorder="1" applyAlignment="1">
      <alignment horizontal="center" vertical="center"/>
    </xf>
    <xf numFmtId="3" fontId="53" fillId="0" borderId="25" xfId="0" applyNumberFormat="1" applyFont="1" applyBorder="1" applyAlignment="1">
      <alignment vertical="center"/>
    </xf>
    <xf numFmtId="0" fontId="53" fillId="0" borderId="25" xfId="0" applyFont="1" applyBorder="1" applyAlignment="1">
      <alignment vertical="center"/>
    </xf>
    <xf numFmtId="0" fontId="20" fillId="0" borderId="24" xfId="0" applyFont="1" applyBorder="1" applyAlignment="1">
      <alignment horizontal="center"/>
    </xf>
    <xf numFmtId="0" fontId="49" fillId="0" borderId="24" xfId="0" applyFont="1" applyBorder="1"/>
    <xf numFmtId="3" fontId="43" fillId="0" borderId="24" xfId="0" applyNumberFormat="1" applyFont="1" applyBorder="1"/>
    <xf numFmtId="3" fontId="42" fillId="0" borderId="24" xfId="0" applyNumberFormat="1" applyFont="1" applyBorder="1"/>
    <xf numFmtId="0" fontId="42" fillId="0" borderId="24" xfId="0" applyFont="1" applyBorder="1"/>
    <xf numFmtId="0" fontId="44" fillId="0" borderId="24" xfId="0" applyFont="1" applyBorder="1" applyAlignment="1">
      <alignment horizontal="left" vertical="center"/>
    </xf>
    <xf numFmtId="0" fontId="43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0" fontId="44" fillId="0" borderId="24" xfId="0" applyFont="1" applyBorder="1" applyAlignment="1">
      <alignment vertical="center" wrapText="1"/>
    </xf>
    <xf numFmtId="3" fontId="43" fillId="0" borderId="24" xfId="0" applyNumberFormat="1" applyFont="1" applyBorder="1" applyAlignment="1">
      <alignment vertical="center"/>
    </xf>
    <xf numFmtId="0" fontId="22" fillId="0" borderId="24" xfId="0" applyFont="1" applyBorder="1" applyAlignment="1">
      <alignment vertical="center" wrapText="1"/>
    </xf>
    <xf numFmtId="0" fontId="48" fillId="0" borderId="24" xfId="0" applyFont="1" applyFill="1" applyBorder="1" applyAlignment="1">
      <alignment wrapText="1"/>
    </xf>
    <xf numFmtId="3" fontId="44" fillId="0" borderId="24" xfId="0" applyNumberFormat="1" applyFont="1" applyBorder="1" applyAlignment="1">
      <alignment vertical="center"/>
    </xf>
    <xf numFmtId="0" fontId="41" fillId="0" borderId="24" xfId="0" applyFont="1" applyBorder="1"/>
    <xf numFmtId="3" fontId="41" fillId="0" borderId="24" xfId="0" applyNumberFormat="1" applyFont="1" applyBorder="1" applyAlignment="1">
      <alignment vertical="center"/>
    </xf>
    <xf numFmtId="3" fontId="42" fillId="0" borderId="24" xfId="0" applyNumberFormat="1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43" fillId="0" borderId="24" xfId="0" applyFont="1" applyBorder="1"/>
    <xf numFmtId="0" fontId="43" fillId="0" borderId="24" xfId="0" applyFont="1" applyBorder="1" applyAlignment="1">
      <alignment wrapText="1"/>
    </xf>
    <xf numFmtId="0" fontId="43" fillId="0" borderId="24" xfId="0" applyFont="1" applyBorder="1" applyAlignment="1">
      <alignment horizontal="left" vertical="center" wrapText="1"/>
    </xf>
    <xf numFmtId="3" fontId="43" fillId="0" borderId="24" xfId="0" applyNumberFormat="1" applyFont="1" applyBorder="1" applyAlignment="1">
      <alignment horizontal="center" vertical="center"/>
    </xf>
    <xf numFmtId="3" fontId="43" fillId="0" borderId="24" xfId="0" applyNumberFormat="1" applyFont="1" applyBorder="1" applyAlignment="1">
      <alignment horizontal="right" vertical="center"/>
    </xf>
    <xf numFmtId="3" fontId="53" fillId="0" borderId="24" xfId="0" applyNumberFormat="1" applyFont="1" applyBorder="1" applyAlignment="1">
      <alignment horizontal="right" vertical="center"/>
    </xf>
    <xf numFmtId="0" fontId="44" fillId="0" borderId="24" xfId="0" applyFont="1" applyBorder="1" applyAlignment="1">
      <alignment wrapText="1"/>
    </xf>
    <xf numFmtId="0" fontId="44" fillId="0" borderId="24" xfId="0" applyFont="1" applyBorder="1"/>
    <xf numFmtId="3" fontId="58" fillId="0" borderId="24" xfId="0" applyNumberFormat="1" applyFont="1" applyBorder="1" applyAlignment="1">
      <alignment vertical="center"/>
    </xf>
    <xf numFmtId="3" fontId="25" fillId="0" borderId="0" xfId="78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35" fillId="0" borderId="24" xfId="78" applyNumberFormat="1" applyFont="1" applyBorder="1" applyAlignment="1">
      <alignment vertical="center"/>
    </xf>
    <xf numFmtId="3" fontId="35" fillId="0" borderId="24" xfId="78" applyNumberFormat="1" applyFont="1" applyBorder="1"/>
    <xf numFmtId="3" fontId="30" fillId="0" borderId="24" xfId="78" applyNumberFormat="1" applyFont="1" applyBorder="1"/>
    <xf numFmtId="3" fontId="37" fillId="0" borderId="24" xfId="78" applyNumberFormat="1" applyFont="1" applyBorder="1"/>
    <xf numFmtId="0" fontId="37" fillId="0" borderId="24" xfId="78" applyFont="1" applyBorder="1"/>
    <xf numFmtId="3" fontId="28" fillId="0" borderId="24" xfId="78" applyNumberFormat="1" applyFont="1" applyFill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28" fillId="0" borderId="24" xfId="78" applyNumberFormat="1" applyFont="1" applyBorder="1"/>
    <xf numFmtId="0" fontId="28" fillId="0" borderId="24" xfId="78" applyFont="1" applyBorder="1"/>
    <xf numFmtId="3" fontId="25" fillId="0" borderId="24" xfId="78" applyNumberFormat="1" applyFont="1" applyFill="1" applyBorder="1" applyAlignment="1">
      <alignment horizontal="left" vertical="center" wrapText="1"/>
    </xf>
    <xf numFmtId="3" fontId="25" fillId="0" borderId="24" xfId="78" applyNumberFormat="1" applyFont="1" applyBorder="1"/>
    <xf numFmtId="0" fontId="35" fillId="0" borderId="24" xfId="78" applyFont="1" applyBorder="1"/>
    <xf numFmtId="49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49" fontId="28" fillId="0" borderId="24" xfId="78" applyNumberFormat="1" applyFont="1" applyBorder="1" applyAlignment="1">
      <alignment horizontal="center" vertical="center" wrapText="1"/>
    </xf>
    <xf numFmtId="3" fontId="35" fillId="25" borderId="24" xfId="78" applyNumberFormat="1" applyFont="1" applyFill="1" applyBorder="1"/>
    <xf numFmtId="0" fontId="136" fillId="0" borderId="24" xfId="78" applyFont="1" applyBorder="1"/>
    <xf numFmtId="3" fontId="30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 applyAlignment="1">
      <alignment horizontal="center" wrapText="1"/>
    </xf>
    <xf numFmtId="3" fontId="30" fillId="0" borderId="24" xfId="78" applyNumberFormat="1" applyFont="1" applyFill="1" applyBorder="1" applyAlignment="1">
      <alignment horizontal="left" vertical="center" wrapText="1"/>
    </xf>
    <xf numFmtId="3" fontId="28" fillId="0" borderId="24" xfId="78" applyNumberFormat="1" applyFont="1" applyFill="1" applyBorder="1"/>
    <xf numFmtId="49" fontId="35" fillId="0" borderId="24" xfId="78" applyNumberFormat="1" applyFont="1" applyBorder="1" applyAlignment="1">
      <alignment horizontal="center" vertical="center" wrapText="1"/>
    </xf>
    <xf numFmtId="3" fontId="35" fillId="0" borderId="24" xfId="78" applyNumberFormat="1" applyFont="1" applyFill="1" applyBorder="1" applyAlignment="1">
      <alignment horizontal="left" vertical="center" wrapText="1"/>
    </xf>
    <xf numFmtId="3" fontId="30" fillId="0" borderId="24" xfId="78" applyNumberFormat="1" applyFont="1" applyBorder="1" applyAlignment="1">
      <alignment vertical="center"/>
    </xf>
    <xf numFmtId="3" fontId="35" fillId="0" borderId="24" xfId="78" applyNumberFormat="1" applyFont="1" applyFill="1" applyBorder="1" applyAlignment="1">
      <alignment vertical="center"/>
    </xf>
    <xf numFmtId="3" fontId="30" fillId="0" borderId="24" xfId="78" applyNumberFormat="1" applyFont="1" applyFill="1" applyBorder="1" applyAlignment="1">
      <alignment vertical="center"/>
    </xf>
    <xf numFmtId="0" fontId="28" fillId="0" borderId="24" xfId="78" applyFont="1" applyBorder="1" applyAlignment="1">
      <alignment vertical="center" wrapText="1"/>
    </xf>
    <xf numFmtId="0" fontId="35" fillId="0" borderId="24" xfId="78" applyFont="1" applyBorder="1" applyAlignment="1">
      <alignment vertical="center" wrapText="1"/>
    </xf>
    <xf numFmtId="0" fontId="28" fillId="0" borderId="24" xfId="78" applyFont="1" applyBorder="1" applyAlignment="1">
      <alignment horizontal="center" wrapText="1"/>
    </xf>
    <xf numFmtId="49" fontId="58" fillId="0" borderId="24" xfId="78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3" fontId="25" fillId="0" borderId="24" xfId="78" applyNumberFormat="1" applyFont="1" applyFill="1" applyBorder="1"/>
    <xf numFmtId="3" fontId="60" fillId="0" borderId="24" xfId="78" applyNumberFormat="1" applyFont="1" applyBorder="1"/>
    <xf numFmtId="0" fontId="60" fillId="0" borderId="24" xfId="78" applyFont="1" applyBorder="1"/>
    <xf numFmtId="3" fontId="28" fillId="0" borderId="24" xfId="78" applyNumberFormat="1" applyFont="1" applyFill="1" applyBorder="1" applyAlignment="1">
      <alignment vertical="center"/>
    </xf>
    <xf numFmtId="3" fontId="86" fillId="0" borderId="24" xfId="78" applyNumberFormat="1" applyFont="1" applyBorder="1" applyAlignment="1">
      <alignment vertical="center"/>
    </xf>
    <xf numFmtId="3" fontId="87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wrapText="1"/>
    </xf>
    <xf numFmtId="3" fontId="25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vertical="center" wrapText="1"/>
    </xf>
    <xf numFmtId="3" fontId="37" fillId="0" borderId="24" xfId="78" applyNumberFormat="1" applyFont="1" applyFill="1" applyBorder="1" applyAlignment="1">
      <alignment horizontal="left" vertical="center" wrapText="1"/>
    </xf>
    <xf numFmtId="3" fontId="35" fillId="0" borderId="24" xfId="78" applyNumberFormat="1" applyFont="1" applyFill="1" applyBorder="1"/>
    <xf numFmtId="3" fontId="30" fillId="0" borderId="24" xfId="78" applyNumberFormat="1" applyFont="1" applyFill="1" applyBorder="1"/>
    <xf numFmtId="3" fontId="121" fillId="0" borderId="24" xfId="78" applyNumberFormat="1" applyFont="1" applyBorder="1"/>
    <xf numFmtId="0" fontId="61" fillId="0" borderId="24" xfId="78" applyFont="1" applyBorder="1"/>
    <xf numFmtId="3" fontId="61" fillId="0" borderId="24" xfId="78" applyNumberFormat="1" applyFont="1" applyBorder="1" applyAlignment="1">
      <alignment vertical="center"/>
    </xf>
    <xf numFmtId="3" fontId="61" fillId="0" borderId="24" xfId="78" applyNumberFormat="1" applyFont="1" applyBorder="1"/>
    <xf numFmtId="0" fontId="30" fillId="0" borderId="24" xfId="78" applyFont="1" applyBorder="1"/>
    <xf numFmtId="0" fontId="30" fillId="0" borderId="24" xfId="78" applyFont="1" applyBorder="1" applyAlignment="1">
      <alignment vertical="center"/>
    </xf>
    <xf numFmtId="3" fontId="121" fillId="0" borderId="24" xfId="78" applyNumberFormat="1" applyFont="1" applyBorder="1" applyAlignment="1">
      <alignment vertical="center"/>
    </xf>
    <xf numFmtId="3" fontId="138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horizontal="left" vertical="center" wrapText="1"/>
    </xf>
    <xf numFmtId="3" fontId="121" fillId="0" borderId="24" xfId="78" applyNumberFormat="1" applyFont="1" applyBorder="1" applyAlignment="1">
      <alignment horizontal="left" vertical="center" wrapText="1"/>
    </xf>
    <xf numFmtId="0" fontId="28" fillId="0" borderId="0" xfId="78" applyFont="1" applyBorder="1"/>
    <xf numFmtId="3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Fill="1" applyBorder="1" applyAlignment="1">
      <alignment horizontal="left" vertical="center" wrapText="1"/>
    </xf>
    <xf numFmtId="3" fontId="35" fillId="0" borderId="25" xfId="78" applyNumberFormat="1" applyFont="1" applyBorder="1" applyAlignment="1">
      <alignment vertical="center"/>
    </xf>
    <xf numFmtId="3" fontId="35" fillId="0" borderId="25" xfId="78" applyNumberFormat="1" applyFont="1" applyBorder="1"/>
    <xf numFmtId="3" fontId="30" fillId="0" borderId="25" xfId="78" applyNumberFormat="1" applyFont="1" applyBorder="1"/>
    <xf numFmtId="3" fontId="28" fillId="0" borderId="25" xfId="78" applyNumberFormat="1" applyFont="1" applyBorder="1"/>
    <xf numFmtId="0" fontId="28" fillId="0" borderId="25" xfId="78" applyFont="1" applyBorder="1"/>
    <xf numFmtId="49" fontId="25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 applyAlignment="1">
      <alignment horizontal="left" vertical="center" wrapText="1"/>
    </xf>
    <xf numFmtId="3" fontId="28" fillId="0" borderId="45" xfId="78" applyNumberFormat="1" applyFont="1" applyBorder="1"/>
    <xf numFmtId="3" fontId="25" fillId="0" borderId="45" xfId="78" applyNumberFormat="1" applyFont="1" applyBorder="1"/>
    <xf numFmtId="3" fontId="37" fillId="0" borderId="45" xfId="78" applyNumberFormat="1" applyFont="1" applyBorder="1"/>
    <xf numFmtId="0" fontId="37" fillId="0" borderId="45" xfId="78" applyFont="1" applyBorder="1"/>
    <xf numFmtId="3" fontId="25" fillId="0" borderId="109" xfId="78" applyNumberFormat="1" applyFont="1" applyBorder="1" applyAlignment="1">
      <alignment horizontal="center" vertical="center" wrapText="1"/>
    </xf>
    <xf numFmtId="3" fontId="25" fillId="0" borderId="32" xfId="78" applyNumberFormat="1" applyFont="1" applyFill="1" applyBorder="1" applyAlignment="1">
      <alignment horizontal="left" vertical="center" wrapText="1"/>
    </xf>
    <xf numFmtId="3" fontId="25" fillId="0" borderId="32" xfId="78" applyNumberFormat="1" applyFont="1" applyBorder="1"/>
    <xf numFmtId="3" fontId="30" fillId="0" borderId="32" xfId="78" applyNumberFormat="1" applyFont="1" applyBorder="1"/>
    <xf numFmtId="0" fontId="35" fillId="0" borderId="32" xfId="78" applyFont="1" applyBorder="1"/>
    <xf numFmtId="0" fontId="28" fillId="0" borderId="56" xfId="78" applyFont="1" applyBorder="1"/>
    <xf numFmtId="3" fontId="35" fillId="0" borderId="84" xfId="78" applyNumberFormat="1" applyFont="1" applyBorder="1"/>
    <xf numFmtId="3" fontId="35" fillId="0" borderId="74" xfId="78" applyNumberFormat="1" applyFont="1" applyBorder="1"/>
    <xf numFmtId="3" fontId="30" fillId="0" borderId="64" xfId="78" applyNumberFormat="1" applyFont="1" applyBorder="1"/>
    <xf numFmtId="3" fontId="28" fillId="0" borderId="77" xfId="78" applyNumberFormat="1" applyFont="1" applyBorder="1"/>
    <xf numFmtId="3" fontId="28" fillId="0" borderId="84" xfId="78" applyNumberFormat="1" applyFont="1" applyBorder="1"/>
    <xf numFmtId="3" fontId="30" fillId="0" borderId="84" xfId="78" applyNumberFormat="1" applyFont="1" applyBorder="1"/>
    <xf numFmtId="3" fontId="35" fillId="0" borderId="84" xfId="78" applyNumberFormat="1" applyFont="1" applyBorder="1" applyAlignment="1">
      <alignment vertical="center"/>
    </xf>
    <xf numFmtId="3" fontId="35" fillId="0" borderId="84" xfId="78" applyNumberFormat="1" applyFont="1" applyFill="1" applyBorder="1" applyAlignment="1">
      <alignment vertical="center"/>
    </xf>
    <xf numFmtId="3" fontId="25" fillId="0" borderId="84" xfId="78" applyNumberFormat="1" applyFont="1" applyBorder="1"/>
    <xf numFmtId="3" fontId="86" fillId="0" borderId="84" xfId="78" applyNumberFormat="1" applyFont="1" applyBorder="1" applyAlignment="1">
      <alignment vertical="center"/>
    </xf>
    <xf numFmtId="3" fontId="28" fillId="0" borderId="84" xfId="78" applyNumberFormat="1" applyFont="1" applyBorder="1" applyAlignment="1">
      <alignment vertical="center"/>
    </xf>
    <xf numFmtId="0" fontId="35" fillId="0" borderId="84" xfId="78" applyFont="1" applyBorder="1"/>
    <xf numFmtId="3" fontId="35" fillId="0" borderId="84" xfId="78" applyNumberFormat="1" applyFont="1" applyFill="1" applyBorder="1"/>
    <xf numFmtId="3" fontId="25" fillId="0" borderId="84" xfId="78" applyNumberFormat="1" applyFont="1" applyBorder="1" applyAlignment="1">
      <alignment vertical="center"/>
    </xf>
    <xf numFmtId="3" fontId="30" fillId="0" borderId="84" xfId="78" applyNumberFormat="1" applyFont="1" applyBorder="1" applyAlignment="1">
      <alignment vertical="center"/>
    </xf>
    <xf numFmtId="3" fontId="121" fillId="0" borderId="84" xfId="78" applyNumberFormat="1" applyFont="1" applyBorder="1" applyAlignment="1">
      <alignment vertical="center"/>
    </xf>
    <xf numFmtId="3" fontId="35" fillId="0" borderId="120" xfId="78" applyNumberFormat="1" applyFont="1" applyBorder="1"/>
    <xf numFmtId="3" fontId="35" fillId="0" borderId="121" xfId="78" applyNumberFormat="1" applyFont="1" applyBorder="1"/>
    <xf numFmtId="3" fontId="30" fillId="0" borderId="122" xfId="78" applyNumberFormat="1" applyFont="1" applyBorder="1"/>
    <xf numFmtId="3" fontId="28" fillId="0" borderId="123" xfId="78" applyNumberFormat="1" applyFont="1" applyBorder="1"/>
    <xf numFmtId="3" fontId="28" fillId="0" borderId="120" xfId="78" applyNumberFormat="1" applyFont="1" applyBorder="1"/>
    <xf numFmtId="3" fontId="30" fillId="0" borderId="120" xfId="78" applyNumberFormat="1" applyFont="1" applyBorder="1"/>
    <xf numFmtId="3" fontId="35" fillId="0" borderId="120" xfId="78" applyNumberFormat="1" applyFont="1" applyBorder="1" applyAlignment="1">
      <alignment vertical="center"/>
    </xf>
    <xf numFmtId="3" fontId="35" fillId="0" borderId="120" xfId="78" applyNumberFormat="1" applyFont="1" applyFill="1" applyBorder="1" applyAlignment="1">
      <alignment vertical="center"/>
    </xf>
    <xf numFmtId="3" fontId="25" fillId="0" borderId="120" xfId="78" applyNumberFormat="1" applyFont="1" applyBorder="1"/>
    <xf numFmtId="3" fontId="86" fillId="0" borderId="120" xfId="78" applyNumberFormat="1" applyFont="1" applyBorder="1" applyAlignment="1">
      <alignment vertical="center"/>
    </xf>
    <xf numFmtId="3" fontId="28" fillId="0" borderId="120" xfId="78" applyNumberFormat="1" applyFont="1" applyBorder="1" applyAlignment="1">
      <alignment vertical="center"/>
    </xf>
    <xf numFmtId="0" fontId="35" fillId="0" borderId="120" xfId="78" applyFont="1" applyBorder="1"/>
    <xf numFmtId="3" fontId="35" fillId="0" borderId="120" xfId="78" applyNumberFormat="1" applyFont="1" applyFill="1" applyBorder="1"/>
    <xf numFmtId="3" fontId="25" fillId="0" borderId="120" xfId="78" applyNumberFormat="1" applyFont="1" applyBorder="1" applyAlignment="1">
      <alignment vertical="center"/>
    </xf>
    <xf numFmtId="3" fontId="30" fillId="0" borderId="120" xfId="78" applyNumberFormat="1" applyFont="1" applyBorder="1" applyAlignment="1">
      <alignment vertical="center"/>
    </xf>
    <xf numFmtId="3" fontId="121" fillId="0" borderId="120" xfId="78" applyNumberFormat="1" applyFont="1" applyBorder="1" applyAlignment="1">
      <alignment vertical="center"/>
    </xf>
    <xf numFmtId="3" fontId="30" fillId="0" borderId="74" xfId="78" applyNumberFormat="1" applyFont="1" applyBorder="1"/>
    <xf numFmtId="3" fontId="25" fillId="0" borderId="77" xfId="78" applyNumberFormat="1" applyFont="1" applyBorder="1"/>
    <xf numFmtId="3" fontId="30" fillId="0" borderId="84" xfId="78" applyNumberFormat="1" applyFont="1" applyFill="1" applyBorder="1" applyAlignment="1">
      <alignment vertical="center"/>
    </xf>
    <xf numFmtId="3" fontId="87" fillId="0" borderId="84" xfId="78" applyNumberFormat="1" applyFont="1" applyBorder="1" applyAlignment="1">
      <alignment vertical="center"/>
    </xf>
    <xf numFmtId="3" fontId="30" fillId="0" borderId="84" xfId="78" applyNumberFormat="1" applyFont="1" applyFill="1" applyBorder="1"/>
    <xf numFmtId="3" fontId="138" fillId="0" borderId="84" xfId="78" applyNumberFormat="1" applyFont="1" applyBorder="1" applyAlignment="1">
      <alignment vertical="center"/>
    </xf>
    <xf numFmtId="3" fontId="28" fillId="0" borderId="124" xfId="78" applyNumberFormat="1" applyFont="1" applyBorder="1"/>
    <xf numFmtId="3" fontId="28" fillId="0" borderId="119" xfId="78" applyNumberFormat="1" applyFont="1" applyBorder="1"/>
    <xf numFmtId="3" fontId="28" fillId="0" borderId="125" xfId="78" applyNumberFormat="1" applyFont="1" applyBorder="1"/>
    <xf numFmtId="3" fontId="28" fillId="0" borderId="74" xfId="78" applyNumberFormat="1" applyFont="1" applyBorder="1"/>
    <xf numFmtId="3" fontId="37" fillId="0" borderId="77" xfId="78" applyNumberFormat="1" applyFont="1" applyBorder="1"/>
    <xf numFmtId="3" fontId="37" fillId="0" borderId="84" xfId="78" applyNumberFormat="1" applyFont="1" applyBorder="1"/>
    <xf numFmtId="3" fontId="35" fillId="25" borderId="84" xfId="78" applyNumberFormat="1" applyFont="1" applyFill="1" applyBorder="1"/>
    <xf numFmtId="3" fontId="60" fillId="0" borderId="84" xfId="78" applyNumberFormat="1" applyFont="1" applyBorder="1"/>
    <xf numFmtId="3" fontId="61" fillId="0" borderId="84" xfId="78" applyNumberFormat="1" applyFont="1" applyBorder="1" applyAlignment="1">
      <alignment vertical="center"/>
    </xf>
    <xf numFmtId="3" fontId="61" fillId="0" borderId="84" xfId="78" applyNumberFormat="1" applyFont="1" applyBorder="1"/>
    <xf numFmtId="3" fontId="121" fillId="0" borderId="84" xfId="78" applyNumberFormat="1" applyFont="1" applyBorder="1"/>
    <xf numFmtId="3" fontId="35" fillId="0" borderId="84" xfId="78" applyNumberFormat="1" applyFont="1" applyBorder="1" applyAlignment="1">
      <alignment horizontal="right" vertical="center"/>
    </xf>
    <xf numFmtId="3" fontId="84" fillId="0" borderId="84" xfId="78" applyNumberFormat="1" applyFont="1" applyBorder="1"/>
    <xf numFmtId="3" fontId="37" fillId="0" borderId="124" xfId="78" applyNumberFormat="1" applyFont="1" applyBorder="1"/>
    <xf numFmtId="3" fontId="37" fillId="0" borderId="119" xfId="78" applyNumberFormat="1" applyFont="1" applyBorder="1"/>
    <xf numFmtId="3" fontId="28" fillId="0" borderId="121" xfId="78" applyNumberFormat="1" applyFont="1" applyBorder="1"/>
    <xf numFmtId="3" fontId="37" fillId="0" borderId="123" xfId="78" applyNumberFormat="1" applyFont="1" applyBorder="1"/>
    <xf numFmtId="3" fontId="37" fillId="0" borderId="120" xfId="78" applyNumberFormat="1" applyFont="1" applyBorder="1"/>
    <xf numFmtId="3" fontId="35" fillId="25" borderId="120" xfId="78" applyNumberFormat="1" applyFont="1" applyFill="1" applyBorder="1"/>
    <xf numFmtId="3" fontId="60" fillId="0" borderId="120" xfId="78" applyNumberFormat="1" applyFont="1" applyBorder="1"/>
    <xf numFmtId="3" fontId="61" fillId="0" borderId="120" xfId="78" applyNumberFormat="1" applyFont="1" applyBorder="1" applyAlignment="1">
      <alignment vertical="center"/>
    </xf>
    <xf numFmtId="3" fontId="61" fillId="0" borderId="120" xfId="78" applyNumberFormat="1" applyFont="1" applyBorder="1"/>
    <xf numFmtId="3" fontId="25" fillId="0" borderId="126" xfId="78" applyNumberFormat="1" applyFont="1" applyBorder="1"/>
    <xf numFmtId="3" fontId="25" fillId="0" borderId="55" xfId="78" applyNumberFormat="1" applyFont="1" applyBorder="1"/>
    <xf numFmtId="3" fontId="30" fillId="0" borderId="127" xfId="78" applyNumberFormat="1" applyFont="1" applyBorder="1"/>
    <xf numFmtId="3" fontId="30" fillId="0" borderId="128" xfId="78" applyNumberFormat="1" applyFont="1" applyBorder="1"/>
    <xf numFmtId="3" fontId="30" fillId="0" borderId="56" xfId="78" applyNumberFormat="1" applyFont="1" applyBorder="1"/>
    <xf numFmtId="3" fontId="25" fillId="0" borderId="129" xfId="78" applyNumberFormat="1" applyFont="1" applyBorder="1"/>
    <xf numFmtId="3" fontId="25" fillId="0" borderId="127" xfId="78" applyNumberFormat="1" applyFont="1" applyBorder="1"/>
    <xf numFmtId="3" fontId="30" fillId="0" borderId="127" xfId="78" applyNumberFormat="1" applyFont="1" applyBorder="1" applyAlignment="1">
      <alignment vertical="center"/>
    </xf>
    <xf numFmtId="3" fontId="30" fillId="0" borderId="127" xfId="78" applyNumberFormat="1" applyFont="1" applyFill="1" applyBorder="1" applyAlignment="1">
      <alignment vertical="center"/>
    </xf>
    <xf numFmtId="3" fontId="87" fillId="0" borderId="127" xfId="78" applyNumberFormat="1" applyFont="1" applyBorder="1" applyAlignment="1">
      <alignment vertical="center"/>
    </xf>
    <xf numFmtId="3" fontId="25" fillId="0" borderId="127" xfId="78" applyNumberFormat="1" applyFont="1" applyBorder="1" applyAlignment="1">
      <alignment vertical="center"/>
    </xf>
    <xf numFmtId="3" fontId="28" fillId="0" borderId="127" xfId="78" applyNumberFormat="1" applyFont="1" applyBorder="1"/>
    <xf numFmtId="3" fontId="30" fillId="0" borderId="127" xfId="78" applyNumberFormat="1" applyFont="1" applyFill="1" applyBorder="1"/>
    <xf numFmtId="3" fontId="138" fillId="0" borderId="127" xfId="78" applyNumberFormat="1" applyFont="1" applyBorder="1" applyAlignment="1">
      <alignment vertical="center"/>
    </xf>
    <xf numFmtId="3" fontId="35" fillId="0" borderId="127" xfId="78" applyNumberFormat="1" applyFont="1" applyBorder="1"/>
    <xf numFmtId="0" fontId="28" fillId="0" borderId="69" xfId="78" applyFont="1" applyBorder="1"/>
    <xf numFmtId="3" fontId="25" fillId="0" borderId="112" xfId="78" applyNumberFormat="1" applyFont="1" applyBorder="1" applyAlignment="1">
      <alignment horizontal="center" vertical="center"/>
    </xf>
    <xf numFmtId="0" fontId="37" fillId="0" borderId="127" xfId="78" applyFont="1" applyBorder="1"/>
    <xf numFmtId="3" fontId="89" fillId="0" borderId="132" xfId="0" applyNumberFormat="1" applyFont="1" applyBorder="1" applyAlignment="1">
      <alignment horizontal="center"/>
    </xf>
    <xf numFmtId="3" fontId="59" fillId="0" borderId="122" xfId="0" applyNumberFormat="1" applyFont="1" applyBorder="1"/>
    <xf numFmtId="0" fontId="82" fillId="0" borderId="0" xfId="0" applyFont="1" applyBorder="1"/>
    <xf numFmtId="0" fontId="85" fillId="0" borderId="0" xfId="0" applyFont="1" applyFill="1" applyBorder="1"/>
    <xf numFmtId="3" fontId="91" fillId="0" borderId="52" xfId="0" applyNumberFormat="1" applyFont="1" applyBorder="1" applyAlignment="1">
      <alignment horizontal="center" vertical="center" wrapText="1"/>
    </xf>
    <xf numFmtId="3" fontId="69" fillId="0" borderId="15" xfId="0" applyNumberFormat="1" applyFont="1" applyBorder="1" applyAlignment="1">
      <alignment horizontal="center" vertical="center" wrapText="1"/>
    </xf>
    <xf numFmtId="3" fontId="69" fillId="0" borderId="139" xfId="0" applyNumberFormat="1" applyFont="1" applyBorder="1" applyAlignment="1">
      <alignment horizontal="center" vertical="center" wrapText="1"/>
    </xf>
    <xf numFmtId="3" fontId="91" fillId="0" borderId="15" xfId="0" applyNumberFormat="1" applyFont="1" applyBorder="1" applyAlignment="1">
      <alignment horizontal="center" vertical="center" wrapText="1"/>
    </xf>
    <xf numFmtId="3" fontId="69" fillId="0" borderId="140" xfId="0" applyNumberFormat="1" applyFont="1" applyBorder="1" applyAlignment="1">
      <alignment horizontal="center" vertical="center" wrapText="1"/>
    </xf>
    <xf numFmtId="3" fontId="91" fillId="0" borderId="40" xfId="0" applyNumberFormat="1" applyFont="1" applyBorder="1" applyAlignment="1">
      <alignment horizontal="center" vertical="center" wrapText="1"/>
    </xf>
    <xf numFmtId="3" fontId="91" fillId="0" borderId="48" xfId="0" applyNumberFormat="1" applyFont="1" applyBorder="1" applyAlignment="1">
      <alignment horizontal="center" vertical="center" wrapText="1"/>
    </xf>
    <xf numFmtId="3" fontId="91" fillId="0" borderId="141" xfId="0" applyNumberFormat="1" applyFont="1" applyBorder="1" applyAlignment="1">
      <alignment horizontal="center" vertical="center" wrapText="1"/>
    </xf>
    <xf numFmtId="1" fontId="58" fillId="0" borderId="24" xfId="0" applyNumberFormat="1" applyFont="1" applyBorder="1" applyAlignment="1">
      <alignment horizontal="center" vertical="center"/>
    </xf>
    <xf numFmtId="0" fontId="58" fillId="0" borderId="24" xfId="0" applyFont="1" applyBorder="1" applyAlignment="1">
      <alignment horizontal="left" vertical="center" wrapText="1"/>
    </xf>
    <xf numFmtId="3" fontId="59" fillId="0" borderId="24" xfId="0" applyNumberFormat="1" applyFont="1" applyBorder="1" applyAlignment="1">
      <alignment horizontal="center" vertical="center" wrapText="1"/>
    </xf>
    <xf numFmtId="3" fontId="58" fillId="0" borderId="24" xfId="0" applyNumberFormat="1" applyFont="1" applyBorder="1" applyAlignment="1">
      <alignment horizontal="center" vertical="center" wrapText="1"/>
    </xf>
    <xf numFmtId="0" fontId="130" fillId="0" borderId="24" xfId="0" applyFont="1" applyBorder="1"/>
    <xf numFmtId="0" fontId="131" fillId="0" borderId="24" xfId="0" applyFont="1" applyBorder="1"/>
    <xf numFmtId="0" fontId="58" fillId="0" borderId="24" xfId="0" applyFont="1" applyBorder="1" applyAlignment="1">
      <alignment horizontal="left" vertical="center"/>
    </xf>
    <xf numFmtId="3" fontId="58" fillId="0" borderId="24" xfId="0" applyNumberFormat="1" applyFont="1" applyBorder="1" applyAlignment="1">
      <alignment horizontal="left" vertical="center" wrapText="1"/>
    </xf>
    <xf numFmtId="3" fontId="58" fillId="0" borderId="24" xfId="0" applyNumberFormat="1" applyFont="1" applyBorder="1" applyAlignment="1">
      <alignment horizontal="right" vertical="center" wrapText="1"/>
    </xf>
    <xf numFmtId="0" fontId="89" fillId="0" borderId="24" xfId="0" applyFont="1" applyBorder="1"/>
    <xf numFmtId="0" fontId="118" fillId="0" borderId="24" xfId="0" applyFont="1" applyBorder="1"/>
    <xf numFmtId="0" fontId="89" fillId="0" borderId="24" xfId="0" applyFont="1" applyBorder="1" applyAlignment="1">
      <alignment horizontal="center"/>
    </xf>
    <xf numFmtId="0" fontId="58" fillId="0" borderId="24" xfId="0" applyFont="1" applyFill="1" applyBorder="1"/>
    <xf numFmtId="0" fontId="57" fillId="0" borderId="24" xfId="0" applyFont="1" applyFill="1" applyBorder="1"/>
    <xf numFmtId="0" fontId="89" fillId="0" borderId="24" xfId="0" applyFont="1" applyFill="1" applyBorder="1"/>
    <xf numFmtId="0" fontId="110" fillId="0" borderId="24" xfId="0" applyFont="1" applyBorder="1"/>
    <xf numFmtId="3" fontId="58" fillId="0" borderId="24" xfId="0" applyNumberFormat="1" applyFont="1" applyBorder="1" applyAlignment="1">
      <alignment horizontal="right" vertical="center"/>
    </xf>
    <xf numFmtId="1" fontId="58" fillId="0" borderId="25" xfId="0" applyNumberFormat="1" applyFont="1" applyBorder="1" applyAlignment="1">
      <alignment horizontal="center" vertical="center"/>
    </xf>
    <xf numFmtId="0" fontId="58" fillId="0" borderId="25" xfId="0" applyFont="1" applyBorder="1" applyAlignment="1">
      <alignment vertical="center" wrapText="1"/>
    </xf>
    <xf numFmtId="3" fontId="58" fillId="0" borderId="25" xfId="0" applyNumberFormat="1" applyFont="1" applyBorder="1" applyAlignment="1">
      <alignment vertical="center"/>
    </xf>
    <xf numFmtId="0" fontId="57" fillId="0" borderId="25" xfId="0" applyFont="1" applyBorder="1"/>
    <xf numFmtId="0" fontId="89" fillId="0" borderId="25" xfId="0" applyFont="1" applyBorder="1"/>
    <xf numFmtId="3" fontId="57" fillId="0" borderId="32" xfId="0" applyNumberFormat="1" applyFont="1" applyBorder="1"/>
    <xf numFmtId="0" fontId="89" fillId="0" borderId="56" xfId="0" applyFont="1" applyBorder="1"/>
    <xf numFmtId="3" fontId="59" fillId="0" borderId="84" xfId="0" applyNumberFormat="1" applyFont="1" applyBorder="1" applyAlignment="1">
      <alignment vertical="center"/>
    </xf>
    <xf numFmtId="3" fontId="59" fillId="0" borderId="127" xfId="0" applyNumberFormat="1" applyFont="1" applyBorder="1" applyAlignment="1">
      <alignment horizontal="center" vertical="center" wrapText="1"/>
    </xf>
    <xf numFmtId="3" fontId="58" fillId="0" borderId="127" xfId="0" applyNumberFormat="1" applyFont="1" applyBorder="1" applyAlignment="1">
      <alignment horizontal="center" vertical="center" wrapText="1"/>
    </xf>
    <xf numFmtId="3" fontId="59" fillId="0" borderId="84" xfId="0" applyNumberFormat="1" applyFont="1" applyBorder="1"/>
    <xf numFmtId="3" fontId="59" fillId="0" borderId="84" xfId="0" applyNumberFormat="1" applyFont="1" applyFill="1" applyBorder="1"/>
    <xf numFmtId="3" fontId="58" fillId="0" borderId="127" xfId="0" applyNumberFormat="1" applyFont="1" applyBorder="1"/>
    <xf numFmtId="3" fontId="58" fillId="0" borderId="127" xfId="0" applyNumberFormat="1" applyFont="1" applyFill="1" applyBorder="1"/>
    <xf numFmtId="3" fontId="58" fillId="0" borderId="127" xfId="0" applyNumberFormat="1" applyFont="1" applyBorder="1" applyAlignment="1">
      <alignment vertical="center"/>
    </xf>
    <xf numFmtId="3" fontId="59" fillId="0" borderId="84" xfId="0" applyNumberFormat="1" applyFont="1" applyBorder="1" applyAlignment="1">
      <alignment horizontal="right" vertical="center"/>
    </xf>
    <xf numFmtId="3" fontId="58" fillId="0" borderId="127" xfId="0" applyNumberFormat="1" applyFont="1" applyBorder="1" applyAlignment="1">
      <alignment horizontal="right" vertical="center"/>
    </xf>
    <xf numFmtId="3" fontId="59" fillId="0" borderId="74" xfId="0" applyNumberFormat="1" applyFont="1" applyBorder="1" applyAlignment="1">
      <alignment vertical="center"/>
    </xf>
    <xf numFmtId="3" fontId="58" fillId="0" borderId="128" xfId="0" applyNumberFormat="1" applyFont="1" applyBorder="1" applyAlignment="1">
      <alignment vertical="center"/>
    </xf>
    <xf numFmtId="3" fontId="59" fillId="0" borderId="84" xfId="0" applyNumberFormat="1" applyFont="1" applyBorder="1" applyAlignment="1">
      <alignment horizontal="center" vertical="center" wrapText="1"/>
    </xf>
    <xf numFmtId="3" fontId="58" fillId="0" borderId="84" xfId="0" applyNumberFormat="1" applyFont="1" applyBorder="1" applyAlignment="1">
      <alignment horizontal="center" vertical="center" wrapText="1"/>
    </xf>
    <xf numFmtId="3" fontId="58" fillId="0" borderId="84" xfId="0" applyNumberFormat="1" applyFont="1" applyBorder="1"/>
    <xf numFmtId="3" fontId="58" fillId="0" borderId="84" xfId="0" applyNumberFormat="1" applyFont="1" applyFill="1" applyBorder="1"/>
    <xf numFmtId="3" fontId="58" fillId="0" borderId="84" xfId="0" applyNumberFormat="1" applyFont="1" applyBorder="1" applyAlignment="1">
      <alignment vertical="center"/>
    </xf>
    <xf numFmtId="3" fontId="58" fillId="0" borderId="84" xfId="0" applyNumberFormat="1" applyFont="1" applyBorder="1" applyAlignment="1">
      <alignment horizontal="right" vertical="center"/>
    </xf>
    <xf numFmtId="3" fontId="58" fillId="0" borderId="74" xfId="0" applyNumberFormat="1" applyFont="1" applyBorder="1" applyAlignment="1">
      <alignment vertical="center"/>
    </xf>
    <xf numFmtId="3" fontId="91" fillId="0" borderId="140" xfId="0" applyNumberFormat="1" applyFont="1" applyBorder="1" applyAlignment="1">
      <alignment horizontal="center" vertical="center" wrapText="1"/>
    </xf>
    <xf numFmtId="3" fontId="91" fillId="0" borderId="139" xfId="0" applyNumberFormat="1" applyFont="1" applyBorder="1" applyAlignment="1">
      <alignment horizontal="center" vertical="center" wrapText="1"/>
    </xf>
    <xf numFmtId="3" fontId="58" fillId="0" borderId="84" xfId="0" applyNumberFormat="1" applyFont="1" applyBorder="1" applyAlignment="1">
      <alignment horizontal="right" vertical="center" wrapText="1"/>
    </xf>
    <xf numFmtId="3" fontId="58" fillId="0" borderId="127" xfId="0" applyNumberFormat="1" applyFont="1" applyBorder="1" applyAlignment="1">
      <alignment horizontal="right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8" fillId="0" borderId="120" xfId="0" applyNumberFormat="1" applyFont="1" applyBorder="1" applyAlignment="1">
      <alignment horizontal="center" vertical="center" wrapText="1"/>
    </xf>
    <xf numFmtId="3" fontId="58" fillId="0" borderId="120" xfId="0" applyNumberFormat="1" applyFont="1" applyBorder="1" applyAlignment="1">
      <alignment horizontal="left" vertical="center" wrapText="1"/>
    </xf>
    <xf numFmtId="3" fontId="58" fillId="0" borderId="120" xfId="0" applyNumberFormat="1" applyFont="1" applyBorder="1"/>
    <xf numFmtId="3" fontId="58" fillId="0" borderId="120" xfId="0" applyNumberFormat="1" applyFont="1" applyFill="1" applyBorder="1"/>
    <xf numFmtId="3" fontId="58" fillId="0" borderId="120" xfId="0" applyNumberFormat="1" applyFont="1" applyBorder="1" applyAlignment="1">
      <alignment horizontal="right" vertical="center"/>
    </xf>
    <xf numFmtId="3" fontId="58" fillId="0" borderId="120" xfId="0" applyNumberFormat="1" applyFont="1" applyBorder="1" applyAlignment="1">
      <alignment vertical="center"/>
    </xf>
    <xf numFmtId="3" fontId="58" fillId="0" borderId="120" xfId="0" applyNumberFormat="1" applyFont="1" applyBorder="1" applyAlignment="1">
      <alignment horizontal="right" vertical="center" wrapText="1"/>
    </xf>
    <xf numFmtId="3" fontId="58" fillId="0" borderId="121" xfId="0" applyNumberFormat="1" applyFont="1" applyBorder="1" applyAlignment="1">
      <alignment vertical="center"/>
    </xf>
    <xf numFmtId="3" fontId="58" fillId="0" borderId="142" xfId="0" applyNumberFormat="1" applyFont="1" applyBorder="1" applyAlignment="1">
      <alignment horizontal="center" vertical="center" wrapText="1"/>
    </xf>
    <xf numFmtId="3" fontId="59" fillId="0" borderId="142" xfId="0" applyNumberFormat="1" applyFont="1" applyBorder="1" applyAlignment="1">
      <alignment horizontal="center" vertical="center" wrapText="1"/>
    </xf>
    <xf numFmtId="3" fontId="58" fillId="0" borderId="142" xfId="0" applyNumberFormat="1" applyFont="1" applyBorder="1" applyAlignment="1">
      <alignment horizontal="right" vertical="center" wrapText="1"/>
    </xf>
    <xf numFmtId="3" fontId="58" fillId="0" borderId="142" xfId="0" applyNumberFormat="1" applyFont="1" applyBorder="1"/>
    <xf numFmtId="3" fontId="58" fillId="0" borderId="142" xfId="0" applyNumberFormat="1" applyFont="1" applyFill="1" applyBorder="1"/>
    <xf numFmtId="3" fontId="58" fillId="0" borderId="142" xfId="0" applyNumberFormat="1" applyFont="1" applyBorder="1" applyAlignment="1">
      <alignment vertical="center"/>
    </xf>
    <xf numFmtId="3" fontId="58" fillId="0" borderId="142" xfId="0" applyNumberFormat="1" applyFont="1" applyBorder="1" applyAlignment="1">
      <alignment horizontal="right" vertical="center"/>
    </xf>
    <xf numFmtId="3" fontId="58" fillId="0" borderId="143" xfId="0" applyNumberFormat="1" applyFont="1" applyBorder="1" applyAlignment="1">
      <alignment vertical="center"/>
    </xf>
    <xf numFmtId="3" fontId="59" fillId="0" borderId="144" xfId="0" applyNumberFormat="1" applyFont="1" applyBorder="1"/>
    <xf numFmtId="3" fontId="25" fillId="0" borderId="25" xfId="0" applyNumberFormat="1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/>
    </xf>
    <xf numFmtId="0" fontId="20" fillId="0" borderId="24" xfId="0" applyFont="1" applyBorder="1"/>
    <xf numFmtId="0" fontId="44" fillId="0" borderId="24" xfId="0" applyFont="1" applyBorder="1" applyAlignment="1"/>
    <xf numFmtId="0" fontId="44" fillId="0" borderId="24" xfId="0" applyFont="1" applyBorder="1" applyAlignment="1">
      <alignment horizontal="center" wrapText="1"/>
    </xf>
    <xf numFmtId="0" fontId="43" fillId="0" borderId="24" xfId="0" applyFont="1" applyBorder="1" applyAlignment="1">
      <alignment horizontal="left"/>
    </xf>
    <xf numFmtId="0" fontId="43" fillId="0" borderId="24" xfId="0" applyFont="1" applyBorder="1" applyAlignment="1">
      <alignment horizontal="left" wrapText="1"/>
    </xf>
    <xf numFmtId="0" fontId="43" fillId="0" borderId="24" xfId="0" applyFont="1" applyFill="1" applyBorder="1" applyAlignment="1">
      <alignment horizontal="left" wrapText="1"/>
    </xf>
    <xf numFmtId="3" fontId="44" fillId="0" borderId="24" xfId="0" applyNumberFormat="1" applyFont="1" applyBorder="1"/>
    <xf numFmtId="0" fontId="43" fillId="0" borderId="24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/>
    <xf numFmtId="0" fontId="44" fillId="0" borderId="25" xfId="0" applyFont="1" applyBorder="1" applyAlignment="1">
      <alignment vertical="center" wrapText="1"/>
    </xf>
    <xf numFmtId="0" fontId="44" fillId="0" borderId="25" xfId="0" applyFont="1" applyBorder="1"/>
    <xf numFmtId="0" fontId="20" fillId="0" borderId="25" xfId="0" applyFont="1" applyBorder="1"/>
    <xf numFmtId="0" fontId="43" fillId="0" borderId="109" xfId="0" applyFont="1" applyBorder="1" applyAlignment="1">
      <alignment horizontal="center" vertical="center"/>
    </xf>
    <xf numFmtId="0" fontId="44" fillId="0" borderId="32" xfId="0" applyFont="1" applyBorder="1"/>
    <xf numFmtId="0" fontId="44" fillId="0" borderId="32" xfId="0" applyFont="1" applyBorder="1" applyAlignment="1">
      <alignment wrapText="1"/>
    </xf>
    <xf numFmtId="0" fontId="53" fillId="0" borderId="32" xfId="0" applyFont="1" applyBorder="1"/>
    <xf numFmtId="0" fontId="53" fillId="0" borderId="56" xfId="0" applyFont="1" applyBorder="1"/>
    <xf numFmtId="0" fontId="22" fillId="0" borderId="24" xfId="0" applyFont="1" applyBorder="1" applyAlignment="1">
      <alignment vertical="center"/>
    </xf>
    <xf numFmtId="0" fontId="22" fillId="0" borderId="24" xfId="0" applyFont="1" applyFill="1" applyBorder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24" xfId="0" applyFont="1" applyBorder="1"/>
    <xf numFmtId="0" fontId="120" fillId="0" borderId="24" xfId="0" applyFont="1" applyBorder="1"/>
    <xf numFmtId="9" fontId="22" fillId="0" borderId="24" xfId="0" applyNumberFormat="1" applyFont="1" applyBorder="1" applyAlignment="1">
      <alignment horizontal="left" vertical="center"/>
    </xf>
    <xf numFmtId="0" fontId="24" fillId="0" borderId="24" xfId="0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0" fontId="22" fillId="0" borderId="24" xfId="0" applyFont="1" applyBorder="1"/>
    <xf numFmtId="9" fontId="22" fillId="0" borderId="24" xfId="0" applyNumberFormat="1" applyFont="1" applyBorder="1" applyAlignment="1">
      <alignment horizontal="left"/>
    </xf>
    <xf numFmtId="3" fontId="23" fillId="0" borderId="24" xfId="0" applyNumberFormat="1" applyFont="1" applyBorder="1"/>
    <xf numFmtId="0" fontId="108" fillId="0" borderId="24" xfId="0" applyFont="1" applyFill="1" applyBorder="1"/>
    <xf numFmtId="10" fontId="23" fillId="0" borderId="24" xfId="0" applyNumberFormat="1" applyFont="1" applyFill="1" applyBorder="1" applyAlignment="1">
      <alignment horizontal="left"/>
    </xf>
    <xf numFmtId="3" fontId="26" fillId="0" borderId="24" xfId="0" applyNumberFormat="1" applyFont="1" applyBorder="1"/>
    <xf numFmtId="0" fontId="83" fillId="0" borderId="24" xfId="0" applyFont="1" applyBorder="1"/>
    <xf numFmtId="0" fontId="24" fillId="0" borderId="24" xfId="0" applyFont="1" applyBorder="1"/>
    <xf numFmtId="10" fontId="22" fillId="0" borderId="24" xfId="0" applyNumberFormat="1" applyFont="1" applyBorder="1"/>
    <xf numFmtId="0" fontId="22" fillId="0" borderId="24" xfId="0" applyFont="1" applyBorder="1" applyAlignment="1">
      <alignment vertical="top"/>
    </xf>
    <xf numFmtId="10" fontId="22" fillId="0" borderId="24" xfId="0" applyNumberFormat="1" applyFont="1" applyBorder="1" applyAlignment="1">
      <alignment wrapText="1"/>
    </xf>
    <xf numFmtId="0" fontId="81" fillId="0" borderId="24" xfId="0" applyFont="1" applyBorder="1"/>
    <xf numFmtId="10" fontId="23" fillId="0" borderId="24" xfId="0" applyNumberFormat="1" applyFont="1" applyBorder="1"/>
    <xf numFmtId="0" fontId="24" fillId="0" borderId="25" xfId="0" applyFont="1" applyBorder="1"/>
    <xf numFmtId="10" fontId="22" fillId="0" borderId="25" xfId="0" applyNumberFormat="1" applyFont="1" applyBorder="1"/>
    <xf numFmtId="3" fontId="23" fillId="0" borderId="25" xfId="0" applyNumberFormat="1" applyFont="1" applyBorder="1"/>
    <xf numFmtId="0" fontId="23" fillId="0" borderId="25" xfId="0" applyFont="1" applyBorder="1"/>
    <xf numFmtId="0" fontId="24" fillId="0" borderId="109" xfId="0" applyFont="1" applyBorder="1"/>
    <xf numFmtId="0" fontId="22" fillId="0" borderId="32" xfId="0" applyFont="1" applyBorder="1"/>
    <xf numFmtId="3" fontId="26" fillId="0" borderId="32" xfId="0" applyNumberFormat="1" applyFont="1" applyFill="1" applyBorder="1"/>
    <xf numFmtId="0" fontId="23" fillId="0" borderId="32" xfId="0" applyFont="1" applyBorder="1"/>
    <xf numFmtId="0" fontId="23" fillId="0" borderId="56" xfId="0" applyFont="1" applyBorder="1"/>
    <xf numFmtId="3" fontId="64" fillId="0" borderId="0" xfId="0" applyNumberFormat="1" applyFont="1" applyBorder="1"/>
    <xf numFmtId="0" fontId="28" fillId="0" borderId="0" xfId="0" applyFont="1" applyBorder="1"/>
    <xf numFmtId="3" fontId="35" fillId="0" borderId="0" xfId="0" applyNumberFormat="1" applyFont="1" applyBorder="1"/>
    <xf numFmtId="3" fontId="35" fillId="0" borderId="0" xfId="74" applyNumberFormat="1" applyFont="1" applyBorder="1"/>
    <xf numFmtId="3" fontId="82" fillId="0" borderId="0" xfId="0" applyNumberFormat="1" applyFont="1" applyBorder="1"/>
    <xf numFmtId="0" fontId="38" fillId="0" borderId="0" xfId="0" applyFont="1" applyBorder="1"/>
    <xf numFmtId="3" fontId="39" fillId="0" borderId="0" xfId="0" applyNumberFormat="1" applyFont="1" applyBorder="1"/>
    <xf numFmtId="3" fontId="30" fillId="0" borderId="0" xfId="0" applyNumberFormat="1" applyFont="1" applyBorder="1"/>
    <xf numFmtId="3" fontId="59" fillId="0" borderId="0" xfId="0" applyNumberFormat="1" applyFont="1" applyBorder="1"/>
    <xf numFmtId="3" fontId="39" fillId="0" borderId="0" xfId="74" applyNumberFormat="1" applyFont="1" applyBorder="1"/>
    <xf numFmtId="3" fontId="137" fillId="0" borderId="0" xfId="0" applyNumberFormat="1" applyFont="1" applyBorder="1"/>
    <xf numFmtId="3" fontId="58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horizontal="center" vertical="center"/>
    </xf>
    <xf numFmtId="3" fontId="35" fillId="0" borderId="0" xfId="0" applyNumberFormat="1" applyFont="1" applyBorder="1" applyAlignment="1">
      <alignment vertical="center"/>
    </xf>
    <xf numFmtId="3" fontId="59" fillId="0" borderId="0" xfId="0" applyNumberFormat="1" applyFont="1" applyBorder="1" applyAlignment="1">
      <alignment wrapText="1"/>
    </xf>
    <xf numFmtId="3" fontId="25" fillId="0" borderId="24" xfId="0" applyNumberFormat="1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3" fontId="25" fillId="0" borderId="84" xfId="0" applyNumberFormat="1" applyFont="1" applyBorder="1" applyAlignment="1">
      <alignment horizontal="center" vertical="center"/>
    </xf>
    <xf numFmtId="3" fontId="35" fillId="0" borderId="60" xfId="0" applyNumberFormat="1" applyFont="1" applyBorder="1"/>
    <xf numFmtId="3" fontId="35" fillId="0" borderId="60" xfId="74" applyNumberFormat="1" applyFont="1" applyBorder="1"/>
    <xf numFmtId="3" fontId="39" fillId="0" borderId="60" xfId="74" applyNumberFormat="1" applyFont="1" applyBorder="1"/>
    <xf numFmtId="3" fontId="39" fillId="0" borderId="60" xfId="0" applyNumberFormat="1" applyFont="1" applyBorder="1"/>
    <xf numFmtId="3" fontId="30" fillId="0" borderId="60" xfId="0" applyNumberFormat="1" applyFont="1" applyBorder="1"/>
    <xf numFmtId="3" fontId="35" fillId="0" borderId="60" xfId="0" applyNumberFormat="1" applyFont="1" applyBorder="1" applyAlignment="1">
      <alignment vertical="center"/>
    </xf>
    <xf numFmtId="3" fontId="58" fillId="0" borderId="60" xfId="0" applyNumberFormat="1" applyFont="1" applyBorder="1" applyAlignment="1">
      <alignment wrapText="1"/>
    </xf>
    <xf numFmtId="0" fontId="30" fillId="0" borderId="60" xfId="0" applyFont="1" applyBorder="1" applyAlignment="1">
      <alignment horizontal="center" vertical="center"/>
    </xf>
    <xf numFmtId="0" fontId="35" fillId="0" borderId="60" xfId="0" applyFont="1" applyBorder="1"/>
    <xf numFmtId="0" fontId="66" fillId="0" borderId="60" xfId="0" applyFont="1" applyBorder="1"/>
    <xf numFmtId="0" fontId="30" fillId="0" borderId="60" xfId="0" applyFont="1" applyBorder="1"/>
    <xf numFmtId="0" fontId="64" fillId="0" borderId="22" xfId="0" applyFont="1" applyBorder="1"/>
    <xf numFmtId="0" fontId="57" fillId="0" borderId="22" xfId="0" applyFont="1" applyBorder="1"/>
    <xf numFmtId="0" fontId="92" fillId="0" borderId="22" xfId="0" applyFont="1" applyBorder="1"/>
    <xf numFmtId="16" fontId="57" fillId="0" borderId="22" xfId="0" applyNumberFormat="1" applyFont="1" applyBorder="1"/>
    <xf numFmtId="0" fontId="63" fillId="0" borderId="22" xfId="0" applyFont="1" applyBorder="1"/>
    <xf numFmtId="0" fontId="28" fillId="0" borderId="22" xfId="0" applyFont="1" applyBorder="1"/>
    <xf numFmtId="0" fontId="34" fillId="0" borderId="22" xfId="0" applyFont="1" applyBorder="1"/>
    <xf numFmtId="0" fontId="25" fillId="0" borderId="22" xfId="0" applyFont="1" applyBorder="1"/>
    <xf numFmtId="0" fontId="25" fillId="0" borderId="22" xfId="0" applyFont="1" applyBorder="1" applyAlignment="1">
      <alignment wrapText="1"/>
    </xf>
    <xf numFmtId="3" fontId="64" fillId="0" borderId="22" xfId="0" applyNumberFormat="1" applyFont="1" applyBorder="1"/>
    <xf numFmtId="3" fontId="57" fillId="0" borderId="22" xfId="0" applyNumberFormat="1" applyFont="1" applyBorder="1" applyAlignment="1">
      <alignment wrapText="1"/>
    </xf>
    <xf numFmtId="0" fontId="28" fillId="0" borderId="22" xfId="0" applyFont="1" applyBorder="1" applyAlignment="1">
      <alignment vertical="center" wrapText="1"/>
    </xf>
    <xf numFmtId="3" fontId="92" fillId="0" borderId="22" xfId="0" applyNumberFormat="1" applyFont="1" applyBorder="1" applyAlignment="1">
      <alignment wrapText="1"/>
    </xf>
    <xf numFmtId="3" fontId="92" fillId="0" borderId="22" xfId="0" applyNumberFormat="1" applyFont="1" applyBorder="1"/>
    <xf numFmtId="0" fontId="25" fillId="0" borderId="145" xfId="0" applyFont="1" applyBorder="1"/>
    <xf numFmtId="0" fontId="35" fillId="0" borderId="74" xfId="0" applyFont="1" applyBorder="1"/>
    <xf numFmtId="0" fontId="25" fillId="0" borderId="24" xfId="0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0" fontId="64" fillId="0" borderId="0" xfId="0" applyFont="1" applyBorder="1"/>
    <xf numFmtId="3" fontId="58" fillId="0" borderId="0" xfId="74" applyNumberFormat="1" applyFont="1" applyBorder="1"/>
    <xf numFmtId="0" fontId="92" fillId="0" borderId="0" xfId="0" applyFont="1" applyBorder="1"/>
    <xf numFmtId="16" fontId="57" fillId="0" borderId="0" xfId="0" applyNumberFormat="1" applyFont="1" applyBorder="1"/>
    <xf numFmtId="0" fontId="66" fillId="0" borderId="0" xfId="0" applyFont="1" applyBorder="1"/>
    <xf numFmtId="3" fontId="34" fillId="0" borderId="0" xfId="0" applyNumberFormat="1" applyFont="1" applyBorder="1"/>
    <xf numFmtId="0" fontId="34" fillId="0" borderId="0" xfId="0" applyFont="1" applyBorder="1"/>
    <xf numFmtId="0" fontId="68" fillId="0" borderId="0" xfId="0" applyFont="1" applyBorder="1"/>
    <xf numFmtId="3" fontId="57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92" fillId="0" borderId="0" xfId="0" applyNumberFormat="1" applyFont="1" applyBorder="1"/>
    <xf numFmtId="3" fontId="127" fillId="0" borderId="0" xfId="0" applyNumberFormat="1" applyFont="1" applyBorder="1"/>
    <xf numFmtId="0" fontId="35" fillId="0" borderId="24" xfId="0" applyFont="1" applyBorder="1" applyAlignment="1"/>
    <xf numFmtId="0" fontId="30" fillId="0" borderId="24" xfId="0" applyFont="1" applyBorder="1" applyAlignment="1">
      <alignment horizontal="center" vertical="center"/>
    </xf>
    <xf numFmtId="3" fontId="25" fillId="0" borderId="74" xfId="0" applyNumberFormat="1" applyFont="1" applyBorder="1"/>
    <xf numFmtId="3" fontId="58" fillId="0" borderId="60" xfId="74" applyNumberFormat="1" applyFont="1" applyBorder="1"/>
    <xf numFmtId="3" fontId="57" fillId="0" borderId="0" xfId="74" applyNumberFormat="1" applyFont="1" applyBorder="1"/>
    <xf numFmtId="0" fontId="57" fillId="0" borderId="0" xfId="0" applyFont="1" applyBorder="1" applyAlignment="1">
      <alignment wrapText="1"/>
    </xf>
    <xf numFmtId="3" fontId="68" fillId="0" borderId="0" xfId="0" applyNumberFormat="1" applyFont="1" applyBorder="1"/>
    <xf numFmtId="3" fontId="66" fillId="0" borderId="0" xfId="0" applyNumberFormat="1" applyFont="1" applyBorder="1"/>
    <xf numFmtId="3" fontId="38" fillId="0" borderId="0" xfId="0" applyNumberFormat="1" applyFont="1" applyBorder="1"/>
    <xf numFmtId="3" fontId="64" fillId="0" borderId="0" xfId="0" applyNumberFormat="1" applyFont="1" applyBorder="1" applyAlignment="1">
      <alignment wrapText="1"/>
    </xf>
    <xf numFmtId="3" fontId="28" fillId="0" borderId="60" xfId="0" applyNumberFormat="1" applyFont="1" applyBorder="1"/>
    <xf numFmtId="3" fontId="64" fillId="0" borderId="60" xfId="0" applyNumberFormat="1" applyFont="1" applyBorder="1" applyAlignment="1">
      <alignment wrapText="1"/>
    </xf>
    <xf numFmtId="3" fontId="57" fillId="0" borderId="60" xfId="74" applyNumberFormat="1" applyFont="1" applyBorder="1"/>
    <xf numFmtId="3" fontId="68" fillId="0" borderId="60" xfId="0" applyNumberFormat="1" applyFont="1" applyBorder="1"/>
    <xf numFmtId="3" fontId="58" fillId="0" borderId="69" xfId="74" applyNumberFormat="1" applyFont="1" applyBorder="1"/>
    <xf numFmtId="3" fontId="96" fillId="0" borderId="0" xfId="0" applyNumberFormat="1" applyFont="1" applyBorder="1"/>
    <xf numFmtId="0" fontId="25" fillId="0" borderId="24" xfId="0" applyFont="1" applyBorder="1" applyAlignment="1">
      <alignment horizontal="center" vertical="center" wrapText="1"/>
    </xf>
    <xf numFmtId="3" fontId="93" fillId="0" borderId="24" xfId="0" applyNumberFormat="1" applyFont="1" applyBorder="1" applyAlignment="1">
      <alignment horizontal="center" vertical="center" wrapText="1"/>
    </xf>
    <xf numFmtId="3" fontId="25" fillId="0" borderId="84" xfId="0" applyNumberFormat="1" applyFont="1" applyBorder="1" applyAlignment="1">
      <alignment horizontal="center" vertical="center" wrapText="1"/>
    </xf>
    <xf numFmtId="3" fontId="38" fillId="0" borderId="60" xfId="0" applyNumberFormat="1" applyFont="1" applyBorder="1"/>
    <xf numFmtId="0" fontId="25" fillId="0" borderId="64" xfId="0" applyFont="1" applyBorder="1"/>
    <xf numFmtId="0" fontId="28" fillId="0" borderId="22" xfId="0" applyFont="1" applyBorder="1" applyAlignment="1">
      <alignment horizontal="center"/>
    </xf>
    <xf numFmtId="3" fontId="63" fillId="0" borderId="0" xfId="74" applyNumberFormat="1" applyFont="1" applyBorder="1"/>
    <xf numFmtId="3" fontId="63" fillId="0" borderId="60" xfId="74" applyNumberFormat="1" applyFont="1" applyBorder="1"/>
    <xf numFmtId="3" fontId="63" fillId="0" borderId="0" xfId="0" applyNumberFormat="1" applyFont="1" applyBorder="1"/>
    <xf numFmtId="3" fontId="58" fillId="0" borderId="60" xfId="0" applyNumberFormat="1" applyFont="1" applyBorder="1" applyAlignment="1">
      <alignment vertical="center"/>
    </xf>
    <xf numFmtId="0" fontId="35" fillId="0" borderId="22" xfId="0" applyFont="1" applyBorder="1"/>
    <xf numFmtId="3" fontId="59" fillId="0" borderId="62" xfId="0" applyNumberFormat="1" applyFont="1" applyBorder="1"/>
    <xf numFmtId="3" fontId="34" fillId="0" borderId="0" xfId="74" applyNumberFormat="1" applyFont="1" applyBorder="1"/>
    <xf numFmtId="3" fontId="34" fillId="0" borderId="60" xfId="74" applyNumberFormat="1" applyFont="1" applyBorder="1"/>
    <xf numFmtId="3" fontId="25" fillId="0" borderId="62" xfId="0" applyNumberFormat="1" applyFont="1" applyBorder="1"/>
    <xf numFmtId="3" fontId="66" fillId="0" borderId="60" xfId="0" applyNumberFormat="1" applyFont="1" applyBorder="1"/>
    <xf numFmtId="3" fontId="25" fillId="0" borderId="64" xfId="0" applyNumberFormat="1" applyFont="1" applyBorder="1"/>
    <xf numFmtId="3" fontId="30" fillId="0" borderId="62" xfId="0" applyNumberFormat="1" applyFont="1" applyBorder="1"/>
    <xf numFmtId="3" fontId="34" fillId="0" borderId="0" xfId="0" applyNumberFormat="1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0" fontId="28" fillId="0" borderId="79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64" fillId="0" borderId="24" xfId="0" applyNumberFormat="1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0" fontId="59" fillId="0" borderId="19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81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8" fillId="0" borderId="48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109" fillId="0" borderId="32" xfId="71" applyNumberFormat="1" applyFont="1" applyBorder="1" applyAlignment="1">
      <alignment horizontal="right" vertical="center"/>
    </xf>
    <xf numFmtId="3" fontId="109" fillId="0" borderId="56" xfId="71" applyNumberFormat="1" applyFont="1" applyBorder="1" applyAlignment="1">
      <alignment horizontal="right" vertical="center"/>
    </xf>
    <xf numFmtId="0" fontId="156" fillId="0" borderId="0" xfId="75" applyFont="1" applyAlignment="1">
      <alignment horizontal="right"/>
    </xf>
    <xf numFmtId="0" fontId="158" fillId="0" borderId="0" xfId="71" applyFont="1" applyAlignment="1">
      <alignment horizontal="right" vertical="center"/>
    </xf>
    <xf numFmtId="0" fontId="109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59" fillId="0" borderId="82" xfId="71" applyFont="1" applyFill="1" applyBorder="1" applyAlignment="1">
      <alignment horizontal="center" vertical="center"/>
    </xf>
    <xf numFmtId="0" fontId="159" fillId="0" borderId="83" xfId="71" applyFont="1" applyFill="1" applyBorder="1" applyAlignment="1">
      <alignment horizontal="center" vertical="center"/>
    </xf>
    <xf numFmtId="3" fontId="159" fillId="0" borderId="46" xfId="71" applyNumberFormat="1" applyFont="1" applyFill="1" applyBorder="1" applyAlignment="1">
      <alignment horizontal="center" vertical="center"/>
    </xf>
    <xf numFmtId="3" fontId="159" fillId="0" borderId="27" xfId="71" applyNumberFormat="1" applyFont="1" applyFill="1" applyBorder="1" applyAlignment="1">
      <alignment horizontal="center" vertical="center"/>
    </xf>
    <xf numFmtId="3" fontId="159" fillId="0" borderId="46" xfId="71" applyNumberFormat="1" applyFont="1" applyFill="1" applyBorder="1" applyAlignment="1">
      <alignment horizontal="center" vertical="center" wrapText="1"/>
    </xf>
    <xf numFmtId="3" fontId="159" fillId="0" borderId="27" xfId="71" applyNumberFormat="1" applyFont="1" applyFill="1" applyBorder="1" applyAlignment="1">
      <alignment horizontal="center" vertical="center" wrapText="1"/>
    </xf>
    <xf numFmtId="3" fontId="159" fillId="0" borderId="72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82" xfId="71" applyFont="1" applyFill="1" applyBorder="1" applyAlignment="1">
      <alignment horizontal="center" vertical="center"/>
    </xf>
    <xf numFmtId="0" fontId="75" fillId="0" borderId="83" xfId="7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64" fillId="0" borderId="110" xfId="0" applyNumberFormat="1" applyFont="1" applyBorder="1" applyAlignment="1">
      <alignment horizontal="center" vertical="center"/>
    </xf>
    <xf numFmtId="3" fontId="64" fillId="0" borderId="112" xfId="0" applyNumberFormat="1" applyFont="1" applyBorder="1" applyAlignment="1">
      <alignment horizontal="center" vertical="center"/>
    </xf>
    <xf numFmtId="3" fontId="64" fillId="0" borderId="113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24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5" xfId="0" applyFont="1" applyBorder="1" applyAlignment="1">
      <alignment horizontal="center" vertical="center" wrapText="1"/>
    </xf>
    <xf numFmtId="3" fontId="148" fillId="0" borderId="32" xfId="71" applyNumberFormat="1" applyFont="1" applyBorder="1" applyAlignment="1">
      <alignment horizontal="right" vertical="center"/>
    </xf>
    <xf numFmtId="3" fontId="148" fillId="0" borderId="56" xfId="71" applyNumberFormat="1" applyFont="1" applyBorder="1" applyAlignment="1">
      <alignment horizontal="right" vertical="center"/>
    </xf>
    <xf numFmtId="0" fontId="116" fillId="0" borderId="0" xfId="71" applyFont="1" applyAlignment="1">
      <alignment horizontal="right" vertical="center"/>
    </xf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72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10" xfId="0" applyFont="1" applyBorder="1" applyAlignment="1">
      <alignment horizontal="center" vertical="center" wrapText="1"/>
    </xf>
    <xf numFmtId="0" fontId="34" fillId="0" borderId="111" xfId="0" applyFont="1" applyBorder="1" applyAlignment="1">
      <alignment horizontal="center" vertical="center" wrapText="1"/>
    </xf>
    <xf numFmtId="0" fontId="25" fillId="0" borderId="101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9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76" xfId="0" applyNumberFormat="1" applyFont="1" applyBorder="1" applyAlignment="1">
      <alignment horizontal="right"/>
    </xf>
    <xf numFmtId="0" fontId="0" fillId="0" borderId="76" xfId="0" applyBorder="1" applyAlignment="1"/>
    <xf numFmtId="0" fontId="29" fillId="0" borderId="2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109" fillId="0" borderId="84" xfId="0" applyFont="1" applyBorder="1" applyAlignment="1">
      <alignment horizontal="center" vertical="center" wrapText="1"/>
    </xf>
    <xf numFmtId="0" fontId="109" fillId="0" borderId="74" xfId="0" applyFont="1" applyBorder="1" applyAlignment="1">
      <alignment horizontal="center" vertical="center" wrapText="1"/>
    </xf>
    <xf numFmtId="3" fontId="109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7" xfId="78" applyNumberFormat="1" applyFont="1" applyBorder="1" applyAlignment="1">
      <alignment horizontal="right"/>
    </xf>
    <xf numFmtId="0" fontId="0" fillId="0" borderId="0" xfId="0" applyBorder="1" applyAlignment="1"/>
    <xf numFmtId="49" fontId="25" fillId="0" borderId="85" xfId="78" applyNumberFormat="1" applyFont="1" applyBorder="1" applyAlignment="1">
      <alignment horizontal="center" vertical="center" textRotation="255" wrapText="1"/>
    </xf>
    <xf numFmtId="3" fontId="25" fillId="0" borderId="34" xfId="78" applyNumberFormat="1" applyFont="1" applyBorder="1" applyAlignment="1">
      <alignment horizontal="center" vertical="center" wrapText="1"/>
    </xf>
    <xf numFmtId="3" fontId="25" fillId="0" borderId="86" xfId="0" applyNumberFormat="1" applyFont="1" applyBorder="1" applyAlignment="1">
      <alignment horizontal="center" vertical="center" wrapText="1"/>
    </xf>
    <xf numFmtId="3" fontId="25" fillId="0" borderId="35" xfId="0" applyNumberFormat="1" applyFont="1" applyBorder="1" applyAlignment="1">
      <alignment horizontal="center" vertical="center" wrapText="1"/>
    </xf>
    <xf numFmtId="3" fontId="25" fillId="0" borderId="87" xfId="0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9" xfId="78" applyNumberFormat="1" applyFont="1" applyBorder="1" applyAlignment="1">
      <alignment horizontal="center" vertical="center"/>
    </xf>
    <xf numFmtId="3" fontId="25" fillId="0" borderId="14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48" xfId="0" applyNumberFormat="1" applyFont="1" applyBorder="1" applyAlignment="1">
      <alignment horizontal="center" vertical="center" wrapText="1"/>
    </xf>
    <xf numFmtId="3" fontId="25" fillId="0" borderId="116" xfId="0" applyNumberFormat="1" applyFont="1" applyBorder="1" applyAlignment="1">
      <alignment horizontal="center" vertical="center" wrapText="1"/>
    </xf>
    <xf numFmtId="3" fontId="25" fillId="0" borderId="130" xfId="0" applyNumberFormat="1" applyFont="1" applyBorder="1" applyAlignment="1">
      <alignment horizontal="center" vertical="center" wrapText="1"/>
    </xf>
    <xf numFmtId="3" fontId="25" fillId="0" borderId="131" xfId="0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center" vertical="center"/>
    </xf>
    <xf numFmtId="3" fontId="25" fillId="0" borderId="127" xfId="78" applyNumberFormat="1" applyFont="1" applyBorder="1" applyAlignment="1">
      <alignment horizontal="center" vertical="center"/>
    </xf>
    <xf numFmtId="3" fontId="25" fillId="0" borderId="112" xfId="78" applyNumberFormat="1" applyFont="1" applyBorder="1" applyAlignment="1">
      <alignment horizontal="center" vertical="center"/>
    </xf>
    <xf numFmtId="3" fontId="25" fillId="0" borderId="113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117" xfId="78" applyNumberFormat="1" applyFont="1" applyBorder="1" applyAlignment="1">
      <alignment horizontal="center" vertical="center"/>
    </xf>
    <xf numFmtId="3" fontId="25" fillId="0" borderId="102" xfId="78" applyNumberFormat="1" applyFont="1" applyBorder="1" applyAlignment="1">
      <alignment horizontal="center" vertical="center"/>
    </xf>
    <xf numFmtId="3" fontId="25" fillId="0" borderId="118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3" fontId="44" fillId="0" borderId="22" xfId="0" applyNumberFormat="1" applyFont="1" applyBorder="1" applyAlignment="1">
      <alignment horizontal="center"/>
    </xf>
    <xf numFmtId="3" fontId="44" fillId="0" borderId="0" xfId="0" applyNumberFormat="1" applyFont="1" applyBorder="1" applyAlignment="1">
      <alignment horizontal="center"/>
    </xf>
    <xf numFmtId="0" fontId="44" fillId="0" borderId="24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76" xfId="0" applyFont="1" applyBorder="1" applyAlignment="1">
      <alignment horizontal="right"/>
    </xf>
    <xf numFmtId="0" fontId="0" fillId="0" borderId="76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wrapText="1"/>
    </xf>
    <xf numFmtId="0" fontId="47" fillId="0" borderId="25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152" fillId="0" borderId="24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0" fontId="64" fillId="0" borderId="46" xfId="0" applyFont="1" applyFill="1" applyBorder="1" applyAlignment="1"/>
    <xf numFmtId="0" fontId="78" fillId="0" borderId="72" xfId="0" applyFont="1" applyBorder="1" applyAlignment="1"/>
    <xf numFmtId="0" fontId="64" fillId="0" borderId="98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89" xfId="0" applyNumberFormat="1" applyFont="1" applyBorder="1" applyAlignment="1">
      <alignment horizontal="center" vertical="center" wrapText="1"/>
    </xf>
    <xf numFmtId="3" fontId="64" fillId="0" borderId="90" xfId="0" applyNumberFormat="1" applyFont="1" applyBorder="1" applyAlignment="1">
      <alignment horizontal="center" vertical="center" wrapText="1"/>
    </xf>
    <xf numFmtId="3" fontId="57" fillId="0" borderId="91" xfId="0" applyNumberFormat="1" applyFont="1" applyBorder="1" applyAlignment="1">
      <alignment horizontal="center" vertical="center" wrapText="1"/>
    </xf>
    <xf numFmtId="3" fontId="57" fillId="0" borderId="92" xfId="0" applyNumberFormat="1" applyFont="1" applyBorder="1" applyAlignment="1">
      <alignment horizontal="center" vertical="center" wrapText="1"/>
    </xf>
    <xf numFmtId="0" fontId="57" fillId="0" borderId="93" xfId="0" applyFont="1" applyBorder="1" applyAlignment="1">
      <alignment horizontal="center" vertical="center" textRotation="255"/>
    </xf>
    <xf numFmtId="0" fontId="57" fillId="0" borderId="94" xfId="0" applyFont="1" applyBorder="1" applyAlignment="1">
      <alignment horizontal="center" vertical="center" textRotation="255"/>
    </xf>
    <xf numFmtId="0" fontId="0" fillId="0" borderId="95" xfId="0" applyBorder="1" applyAlignment="1"/>
    <xf numFmtId="3" fontId="64" fillId="0" borderId="96" xfId="0" applyNumberFormat="1" applyFont="1" applyBorder="1" applyAlignment="1">
      <alignment horizontal="center" vertical="center" wrapText="1"/>
    </xf>
    <xf numFmtId="3" fontId="64" fillId="0" borderId="97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99" xfId="0" applyNumberFormat="1" applyFont="1" applyBorder="1" applyAlignment="1">
      <alignment horizontal="center" vertical="center"/>
    </xf>
    <xf numFmtId="3" fontId="64" fillId="0" borderId="101" xfId="0" applyNumberFormat="1" applyFont="1" applyBorder="1" applyAlignment="1">
      <alignment horizontal="center" vertical="center"/>
    </xf>
    <xf numFmtId="3" fontId="64" fillId="0" borderId="100" xfId="0" applyNumberFormat="1" applyFont="1" applyBorder="1" applyAlignment="1">
      <alignment horizontal="center" vertical="center"/>
    </xf>
    <xf numFmtId="3" fontId="64" fillId="0" borderId="102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3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04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57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57" xfId="0" applyNumberFormat="1" applyFont="1" applyBorder="1" applyAlignment="1">
      <alignment horizontal="right"/>
    </xf>
    <xf numFmtId="3" fontId="64" fillId="0" borderId="91" xfId="0" applyNumberFormat="1" applyFont="1" applyBorder="1" applyAlignment="1">
      <alignment horizontal="center" vertical="center" wrapText="1"/>
    </xf>
    <xf numFmtId="0" fontId="64" fillId="0" borderId="105" xfId="0" applyFont="1" applyBorder="1" applyAlignment="1">
      <alignment horizontal="center" vertical="center" readingOrder="2"/>
    </xf>
    <xf numFmtId="0" fontId="78" fillId="0" borderId="103" xfId="0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3" fontId="64" fillId="0" borderId="19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/>
    </xf>
    <xf numFmtId="0" fontId="59" fillId="0" borderId="109" xfId="0" applyFont="1" applyBorder="1" applyAlignment="1">
      <alignment horizontal="left"/>
    </xf>
    <xf numFmtId="0" fontId="59" fillId="0" borderId="32" xfId="0" applyFont="1" applyBorder="1" applyAlignment="1">
      <alignment horizontal="left"/>
    </xf>
    <xf numFmtId="3" fontId="64" fillId="0" borderId="106" xfId="0" applyNumberFormat="1" applyFont="1" applyBorder="1" applyAlignment="1">
      <alignment horizontal="center"/>
    </xf>
    <xf numFmtId="3" fontId="89" fillId="0" borderId="107" xfId="0" applyNumberFormat="1" applyFont="1" applyBorder="1" applyAlignment="1">
      <alignment horizontal="center"/>
    </xf>
    <xf numFmtId="3" fontId="90" fillId="0" borderId="106" xfId="0" applyNumberFormat="1" applyFont="1" applyBorder="1" applyAlignment="1">
      <alignment horizontal="center"/>
    </xf>
    <xf numFmtId="3" fontId="90" fillId="0" borderId="132" xfId="0" applyNumberFormat="1" applyFont="1" applyBorder="1" applyAlignment="1">
      <alignment horizontal="center"/>
    </xf>
    <xf numFmtId="3" fontId="90" fillId="0" borderId="21" xfId="0" applyNumberFormat="1" applyFont="1" applyBorder="1" applyAlignment="1">
      <alignment horizontal="center" vertical="center" wrapText="1"/>
    </xf>
    <xf numFmtId="3" fontId="90" fillId="0" borderId="15" xfId="0" applyNumberFormat="1" applyFont="1" applyBorder="1" applyAlignment="1">
      <alignment horizontal="center" vertical="center" wrapText="1"/>
    </xf>
    <xf numFmtId="3" fontId="90" fillId="0" borderId="134" xfId="0" applyNumberFormat="1" applyFont="1" applyBorder="1" applyAlignment="1">
      <alignment horizontal="center" vertical="center" wrapText="1"/>
    </xf>
    <xf numFmtId="3" fontId="90" fillId="0" borderId="133" xfId="0" applyNumberFormat="1" applyFont="1" applyBorder="1" applyAlignment="1">
      <alignment horizontal="center" vertical="center" wrapText="1"/>
    </xf>
    <xf numFmtId="3" fontId="90" fillId="0" borderId="14" xfId="0" applyNumberFormat="1" applyFont="1" applyBorder="1" applyAlignment="1">
      <alignment horizontal="center" vertical="center" wrapText="1"/>
    </xf>
    <xf numFmtId="3" fontId="90" fillId="0" borderId="135" xfId="0" applyNumberFormat="1" applyFont="1" applyBorder="1" applyAlignment="1">
      <alignment horizontal="center" vertical="center" wrapText="1"/>
    </xf>
    <xf numFmtId="3" fontId="90" fillId="0" borderId="137" xfId="0" applyNumberFormat="1" applyFont="1" applyBorder="1" applyAlignment="1">
      <alignment horizontal="center" vertical="center" wrapText="1"/>
    </xf>
    <xf numFmtId="3" fontId="90" fillId="0" borderId="138" xfId="0" applyNumberFormat="1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5" xfId="0" applyNumberFormat="1" applyFont="1" applyBorder="1" applyAlignment="1">
      <alignment horizontal="center" vertical="center" wrapText="1"/>
    </xf>
    <xf numFmtId="3" fontId="64" fillId="0" borderId="132" xfId="0" applyNumberFormat="1" applyFont="1" applyBorder="1" applyAlignment="1">
      <alignment horizontal="center"/>
    </xf>
    <xf numFmtId="3" fontId="63" fillId="0" borderId="136" xfId="0" applyNumberFormat="1" applyFont="1" applyBorder="1" applyAlignment="1">
      <alignment horizontal="right"/>
    </xf>
    <xf numFmtId="0" fontId="88" fillId="0" borderId="136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8" fillId="0" borderId="0" xfId="0" applyFont="1" applyBorder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3" fontId="64" fillId="0" borderId="15" xfId="0" applyNumberFormat="1" applyFont="1" applyBorder="1" applyAlignment="1">
      <alignment horizontal="center" vertical="center" wrapText="1"/>
    </xf>
    <xf numFmtId="0" fontId="0" fillId="0" borderId="13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5" xfId="0" applyBorder="1" applyAlignment="1">
      <alignment horizontal="center" vertical="center" wrapText="1"/>
    </xf>
    <xf numFmtId="3" fontId="90" fillId="0" borderId="61" xfId="0" applyNumberFormat="1" applyFont="1" applyBorder="1" applyAlignment="1">
      <alignment horizontal="center" vertical="center" wrapText="1"/>
    </xf>
    <xf numFmtId="3" fontId="90" fillId="0" borderId="60" xfId="0" applyNumberFormat="1" applyFont="1" applyBorder="1" applyAlignment="1">
      <alignment horizontal="center" vertical="center" wrapText="1"/>
    </xf>
    <xf numFmtId="0" fontId="88" fillId="0" borderId="60" xfId="0" applyFont="1" applyBorder="1" applyAlignment="1">
      <alignment horizontal="center" vertical="center" wrapText="1"/>
    </xf>
    <xf numFmtId="0" fontId="90" fillId="0" borderId="76" xfId="0" applyFont="1" applyBorder="1" applyAlignment="1">
      <alignment horizontal="right"/>
    </xf>
    <xf numFmtId="0" fontId="90" fillId="0" borderId="74" xfId="0" applyFont="1" applyBorder="1" applyAlignment="1">
      <alignment horizontal="center" vertical="center" wrapText="1"/>
    </xf>
    <xf numFmtId="0" fontId="90" fillId="0" borderId="60" xfId="0" applyFont="1" applyBorder="1" applyAlignment="1">
      <alignment horizontal="center" vertical="center" wrapText="1"/>
    </xf>
    <xf numFmtId="0" fontId="156" fillId="0" borderId="0" xfId="0" applyFont="1" applyBorder="1" applyAlignment="1">
      <alignment horizontal="right"/>
    </xf>
    <xf numFmtId="0" fontId="154" fillId="0" borderId="0" xfId="0" applyFont="1" applyBorder="1" applyAlignment="1">
      <alignment horizontal="right"/>
    </xf>
    <xf numFmtId="0" fontId="155" fillId="0" borderId="0" xfId="0" applyFont="1" applyAlignment="1"/>
    <xf numFmtId="0" fontId="44" fillId="0" borderId="2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8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48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7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48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3" fontId="59" fillId="0" borderId="24" xfId="0" applyNumberFormat="1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79" xfId="0" applyFont="1" applyBorder="1" applyAlignment="1">
      <alignment horizontal="center" vertical="center"/>
    </xf>
    <xf numFmtId="0" fontId="25" fillId="0" borderId="84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3" fontId="74" fillId="0" borderId="24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25" fillId="0" borderId="76" xfId="0" applyFont="1" applyBorder="1" applyAlignment="1">
      <alignment horizontal="right"/>
    </xf>
    <xf numFmtId="0" fontId="28" fillId="0" borderId="0" xfId="0" applyFont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55" fillId="0" borderId="0" xfId="0" applyFont="1" applyBorder="1" applyAlignment="1">
      <alignment horizontal="left" wrapText="1"/>
    </xf>
    <xf numFmtId="0" fontId="56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2" fillId="0" borderId="24" xfId="72" applyFont="1" applyBorder="1" applyAlignment="1">
      <alignment horizontal="center"/>
    </xf>
    <xf numFmtId="0" fontId="48" fillId="0" borderId="84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76" xfId="72" applyFont="1" applyBorder="1" applyAlignment="1">
      <alignment horizontal="center"/>
    </xf>
    <xf numFmtId="0" fontId="48" fillId="0" borderId="77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84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2" xfId="72" applyFont="1" applyBorder="1" applyAlignment="1">
      <alignment horizontal="center"/>
    </xf>
    <xf numFmtId="0" fontId="100" fillId="0" borderId="79" xfId="72" applyFont="1" applyBorder="1" applyAlignment="1">
      <alignment horizontal="center"/>
    </xf>
    <xf numFmtId="0" fontId="100" fillId="0" borderId="84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5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5" xfId="77" applyFont="1" applyBorder="1" applyAlignment="1">
      <alignment horizontal="center" vertical="center" wrapText="1"/>
    </xf>
    <xf numFmtId="0" fontId="53" fillId="0" borderId="41" xfId="77" applyFont="1" applyBorder="1" applyAlignment="1">
      <alignment horizontal="center" vertical="center"/>
    </xf>
    <xf numFmtId="0" fontId="53" fillId="0" borderId="75" xfId="77" applyFont="1" applyBorder="1" applyAlignment="1">
      <alignment horizontal="center" vertical="center"/>
    </xf>
    <xf numFmtId="0" fontId="53" fillId="0" borderId="76" xfId="77" applyFont="1" applyBorder="1" applyAlignment="1">
      <alignment horizontal="right"/>
    </xf>
    <xf numFmtId="3" fontId="28" fillId="0" borderId="22" xfId="0" applyNumberFormat="1" applyFont="1" applyBorder="1" applyAlignment="1">
      <alignment wrapText="1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57"/>
  <sheetViews>
    <sheetView tabSelected="1" topLeftCell="C1" zoomScale="120" workbookViewId="0">
      <selection activeCell="S65" sqref="R65:S65"/>
    </sheetView>
  </sheetViews>
  <sheetFormatPr defaultColWidth="9.140625" defaultRowHeight="11.25" x14ac:dyDescent="0.2"/>
  <cols>
    <col min="1" max="1" width="2.140625" style="10" customWidth="1"/>
    <col min="2" max="2" width="3.85546875" style="118" customWidth="1"/>
    <col min="3" max="3" width="36.28515625" style="118" customWidth="1"/>
    <col min="4" max="4" width="13.28515625" style="119" customWidth="1"/>
    <col min="5" max="5" width="11.140625" style="119" customWidth="1"/>
    <col min="6" max="6" width="13.42578125" style="119" customWidth="1"/>
    <col min="7" max="7" width="10.7109375" style="119" customWidth="1"/>
    <col min="8" max="8" width="10.85546875" style="119" customWidth="1"/>
    <col min="9" max="9" width="11.85546875" style="119" customWidth="1"/>
    <col min="10" max="10" width="11.42578125" style="119" customWidth="1"/>
    <col min="11" max="11" width="11" style="119" customWidth="1"/>
    <col min="12" max="12" width="36.42578125" style="119" customWidth="1"/>
    <col min="13" max="13" width="10.140625" style="119" customWidth="1"/>
    <col min="14" max="15" width="10" style="119" customWidth="1"/>
    <col min="16" max="20" width="10" style="118" customWidth="1"/>
    <col min="21" max="25" width="9.140625" style="118"/>
    <col min="26" max="16384" width="9.140625" style="10"/>
  </cols>
  <sheetData>
    <row r="1" spans="1:25" ht="12.75" customHeight="1" x14ac:dyDescent="0.2">
      <c r="B1" s="1398" t="s">
        <v>1415</v>
      </c>
      <c r="C1" s="1398"/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</row>
    <row r="2" spans="1:25" ht="20.25" x14ac:dyDescent="0.3">
      <c r="C2" s="608"/>
      <c r="O2" s="120"/>
    </row>
    <row r="3" spans="1:25" s="99" customFormat="1" ht="12.75" customHeight="1" x14ac:dyDescent="0.2">
      <c r="B3" s="121"/>
      <c r="C3" s="1406" t="s">
        <v>54</v>
      </c>
      <c r="D3" s="1406"/>
      <c r="E3" s="1406"/>
      <c r="F3" s="1406"/>
      <c r="G3" s="1406"/>
      <c r="H3" s="1406"/>
      <c r="I3" s="1406"/>
      <c r="J3" s="1406"/>
      <c r="K3" s="1406"/>
      <c r="L3" s="1406"/>
      <c r="M3" s="1406"/>
      <c r="N3" s="1406"/>
      <c r="O3" s="1406"/>
      <c r="P3" s="1406"/>
      <c r="Q3" s="1406"/>
      <c r="R3" s="1406"/>
      <c r="S3" s="1406"/>
      <c r="T3" s="1406"/>
      <c r="U3" s="121"/>
      <c r="V3" s="121"/>
      <c r="W3" s="121"/>
      <c r="X3" s="121"/>
      <c r="Y3" s="121"/>
    </row>
    <row r="4" spans="1:25" s="99" customFormat="1" ht="12.75" customHeight="1" x14ac:dyDescent="0.2">
      <c r="B4" s="121"/>
      <c r="C4" s="1407" t="s">
        <v>1149</v>
      </c>
      <c r="D4" s="1407"/>
      <c r="E4" s="1407"/>
      <c r="F4" s="1407"/>
      <c r="G4" s="1407"/>
      <c r="H4" s="1407"/>
      <c r="I4" s="1407"/>
      <c r="J4" s="1407"/>
      <c r="K4" s="1407"/>
      <c r="L4" s="1407"/>
      <c r="M4" s="1407"/>
      <c r="N4" s="1407"/>
      <c r="O4" s="1407"/>
      <c r="P4" s="1407"/>
      <c r="Q4" s="1407"/>
      <c r="R4" s="1407"/>
      <c r="S4" s="1407"/>
      <c r="T4" s="1407"/>
      <c r="U4" s="121"/>
      <c r="V4" s="121"/>
      <c r="W4" s="121"/>
      <c r="X4" s="121"/>
      <c r="Y4" s="121"/>
    </row>
    <row r="5" spans="1:25" s="99" customFormat="1" x14ac:dyDescent="0.2">
      <c r="B5" s="121"/>
      <c r="C5" s="1405" t="s">
        <v>305</v>
      </c>
      <c r="D5" s="1405"/>
      <c r="E5" s="1405"/>
      <c r="F5" s="1405"/>
      <c r="G5" s="1405"/>
      <c r="H5" s="1405"/>
      <c r="I5" s="1405"/>
      <c r="J5" s="1405"/>
      <c r="K5" s="1405"/>
      <c r="L5" s="1405"/>
      <c r="M5" s="1405"/>
      <c r="N5" s="1405"/>
      <c r="O5" s="1405"/>
      <c r="P5" s="1405"/>
      <c r="Q5" s="1405"/>
      <c r="R5" s="1405"/>
      <c r="S5" s="1405"/>
      <c r="T5" s="1405"/>
      <c r="U5" s="121"/>
      <c r="V5" s="121"/>
      <c r="W5" s="121"/>
      <c r="X5" s="121"/>
      <c r="Y5" s="121"/>
    </row>
    <row r="6" spans="1:25" s="99" customFormat="1" ht="12.75" customHeight="1" x14ac:dyDescent="0.2">
      <c r="B6" s="1399" t="s">
        <v>56</v>
      </c>
      <c r="C6" s="1401" t="s">
        <v>57</v>
      </c>
      <c r="D6" s="1402" t="s">
        <v>58</v>
      </c>
      <c r="E6" s="1402"/>
      <c r="F6" s="1402"/>
      <c r="G6" s="1402"/>
      <c r="H6" s="1402"/>
      <c r="I6" s="1402"/>
      <c r="J6" s="1402"/>
      <c r="K6" s="1402"/>
      <c r="L6" s="1402" t="s">
        <v>59</v>
      </c>
      <c r="M6" s="1404" t="s">
        <v>60</v>
      </c>
      <c r="N6" s="1404"/>
      <c r="O6" s="1404"/>
      <c r="P6" s="1404"/>
      <c r="Q6" s="1404"/>
      <c r="R6" s="1404"/>
      <c r="S6" s="1404"/>
      <c r="T6" s="1404"/>
    </row>
    <row r="7" spans="1:25" s="99" customFormat="1" ht="12.75" customHeight="1" x14ac:dyDescent="0.2">
      <c r="B7" s="1399"/>
      <c r="C7" s="1401"/>
      <c r="D7" s="1403" t="s">
        <v>1413</v>
      </c>
      <c r="E7" s="1403"/>
      <c r="F7" s="1403"/>
      <c r="G7" s="1403" t="s">
        <v>1398</v>
      </c>
      <c r="H7" s="1403"/>
      <c r="I7" s="1403" t="s">
        <v>1416</v>
      </c>
      <c r="J7" s="1403"/>
      <c r="K7" s="1403"/>
      <c r="L7" s="1402"/>
      <c r="M7" s="1403" t="s">
        <v>1413</v>
      </c>
      <c r="N7" s="1403"/>
      <c r="O7" s="1403"/>
      <c r="P7" s="1403" t="s">
        <v>1398</v>
      </c>
      <c r="Q7" s="1403"/>
      <c r="R7" s="1403" t="s">
        <v>1412</v>
      </c>
      <c r="S7" s="1403"/>
      <c r="T7" s="1403"/>
    </row>
    <row r="8" spans="1:25" s="100" customFormat="1" ht="36.6" customHeight="1" x14ac:dyDescent="0.2">
      <c r="A8" s="1327"/>
      <c r="B8" s="1400"/>
      <c r="C8" s="1318" t="s">
        <v>61</v>
      </c>
      <c r="D8" s="817" t="s">
        <v>62</v>
      </c>
      <c r="E8" s="817" t="s">
        <v>63</v>
      </c>
      <c r="F8" s="817" t="s">
        <v>64</v>
      </c>
      <c r="G8" s="817" t="s">
        <v>62</v>
      </c>
      <c r="H8" s="817" t="s">
        <v>63</v>
      </c>
      <c r="I8" s="817" t="s">
        <v>62</v>
      </c>
      <c r="J8" s="817" t="s">
        <v>63</v>
      </c>
      <c r="K8" s="817" t="s">
        <v>64</v>
      </c>
      <c r="L8" s="1319" t="s">
        <v>65</v>
      </c>
      <c r="M8" s="817" t="s">
        <v>62</v>
      </c>
      <c r="N8" s="817" t="s">
        <v>63</v>
      </c>
      <c r="O8" s="817" t="s">
        <v>64</v>
      </c>
      <c r="P8" s="817" t="s">
        <v>62</v>
      </c>
      <c r="Q8" s="817" t="s">
        <v>63</v>
      </c>
      <c r="R8" s="817" t="s">
        <v>62</v>
      </c>
      <c r="S8" s="817" t="s">
        <v>63</v>
      </c>
      <c r="T8" s="817" t="s">
        <v>64</v>
      </c>
    </row>
    <row r="9" spans="1:25" ht="11.45" customHeight="1" x14ac:dyDescent="0.2">
      <c r="A9" s="1328"/>
      <c r="B9" s="570">
        <v>1</v>
      </c>
      <c r="C9" s="1331" t="s">
        <v>24</v>
      </c>
      <c r="D9" s="126"/>
      <c r="E9" s="126"/>
      <c r="F9" s="126"/>
      <c r="G9" s="126"/>
      <c r="H9" s="126"/>
      <c r="I9" s="126"/>
      <c r="J9" s="126"/>
      <c r="K9" s="340"/>
      <c r="L9" s="1302" t="s">
        <v>25</v>
      </c>
      <c r="M9" s="126"/>
      <c r="N9" s="126"/>
      <c r="O9" s="124"/>
      <c r="P9" s="1303"/>
      <c r="Q9" s="1303"/>
      <c r="R9" s="1303"/>
      <c r="S9" s="1303"/>
      <c r="T9" s="1346"/>
      <c r="U9" s="10"/>
      <c r="V9" s="10"/>
      <c r="W9" s="10"/>
      <c r="X9" s="10"/>
      <c r="Y9" s="10"/>
    </row>
    <row r="10" spans="1:25" x14ac:dyDescent="0.2">
      <c r="A10" s="1328"/>
      <c r="B10" s="570">
        <f t="shared" ref="B10:B55" si="0">B9+1</f>
        <v>2</v>
      </c>
      <c r="C10" s="1332" t="s">
        <v>197</v>
      </c>
      <c r="D10" s="204"/>
      <c r="E10" s="204"/>
      <c r="F10" s="204"/>
      <c r="G10" s="204"/>
      <c r="H10" s="204"/>
      <c r="I10" s="204"/>
      <c r="J10" s="204"/>
      <c r="K10" s="353"/>
      <c r="L10" s="204" t="s">
        <v>215</v>
      </c>
      <c r="M10" s="1304">
        <f>'pü.mérleg Önkorm.'!M10+'pü.mérleg Hivatal'!M12+'püm. GAMESZ. '!M12+'püm-TASZII.'!M12+püm.Brunszvik!M12+'püm Festetics'!M12</f>
        <v>581651</v>
      </c>
      <c r="N10" s="1304">
        <f>'pü.mérleg Önkorm.'!N10+'pü.mérleg Hivatal'!N12+'püm. GAMESZ. '!N12+'püm-TASZII.'!N12+püm.Brunszvik!N12+'püm Festetics'!N12</f>
        <v>432225</v>
      </c>
      <c r="O10" s="1305">
        <f>SUM(M10:N10)</f>
        <v>1013876</v>
      </c>
      <c r="P10" s="124">
        <f>'pü.mérleg Önkorm.'!Q10+'pü.mérleg Hivatal'!P12+'püm. GAMESZ. '!P12+püm.Brunszvik!P12+'püm Festetics'!P12+'püm-TASZII.'!P12</f>
        <v>20836</v>
      </c>
      <c r="Q10" s="124">
        <f>'pü.mérleg Önkorm.'!R10+'pü.mérleg Hivatal'!Q12+'püm. GAMESZ. '!Q12+püm.Brunszvik!Q12+'püm Festetics'!Q12+'püm-TASZII.'!Q12</f>
        <v>-26748</v>
      </c>
      <c r="R10" s="124">
        <f>'pü.mérleg Önkorm.'!S10+'pü.mérleg Hivatal'!R12+'püm. GAMESZ. '!R12+püm.Brunszvik!R12+'püm Festetics'!R12+'püm-TASZII.'!R12</f>
        <v>602487</v>
      </c>
      <c r="S10" s="124">
        <f>'pü.mérleg Önkorm.'!T10+'pü.mérleg Hivatal'!S12+'püm. GAMESZ. '!S12+püm.Brunszvik!S12+'püm Festetics'!S12+'püm-TASZII.'!S12</f>
        <v>405477</v>
      </c>
      <c r="T10" s="1374">
        <f>'pü.mérleg Önkorm.'!U10+'pü.mérleg Hivatal'!T12+'püm. GAMESZ. '!T12+püm.Brunszvik!T12+'püm Festetics'!T12+'püm-TASZII.'!T12</f>
        <v>1007964</v>
      </c>
      <c r="U10" s="10"/>
      <c r="V10" s="10"/>
      <c r="W10" s="10"/>
      <c r="X10" s="10"/>
      <c r="Y10" s="10"/>
    </row>
    <row r="11" spans="1:25" x14ac:dyDescent="0.2">
      <c r="A11" s="1328"/>
      <c r="B11" s="570">
        <f t="shared" si="0"/>
        <v>3</v>
      </c>
      <c r="C11" s="1332" t="s">
        <v>191</v>
      </c>
      <c r="D11" s="1304">
        <f>'tám, végl. pe.átv  '!C11+'tám, végl. pe.átv  '!C17+'tám, végl. pe.átv  '!C18</f>
        <v>811138</v>
      </c>
      <c r="E11" s="1304">
        <f>'tám, végl. pe.átv  '!D11+'tám, végl. pe.átv  '!D17+'tám, végl. pe.átv  '!D18</f>
        <v>131086</v>
      </c>
      <c r="F11" s="1304">
        <f>'tám, végl. pe.átv  '!E11+'tám, végl. pe.átv  '!E17+'tám, végl. pe.átv  '!E18</f>
        <v>942224</v>
      </c>
      <c r="G11" s="1304">
        <f>'pü.mérleg Önkorm.'!G11+'pü.mérleg Hivatal'!G13+'püm. GAMESZ. '!G13+püm.Brunszvik!G13+'püm Festetics'!G13+'püm-TASZII.'!G13</f>
        <v>1057</v>
      </c>
      <c r="H11" s="1304">
        <f>'pü.mérleg Önkorm.'!H11+'pü.mérleg Hivatal'!H13+'püm. GAMESZ. '!H13+püm.Brunszvik!H13+'püm Festetics'!H13+'püm-TASZII.'!H13</f>
        <v>-1612</v>
      </c>
      <c r="I11" s="1304">
        <f>'pü.mérleg Önkorm.'!I11+'pü.mérleg Hivatal'!I13+'püm. GAMESZ. '!I13+püm.Brunszvik!I13+'püm Festetics'!I13+'püm-TASZII.'!I13</f>
        <v>812195</v>
      </c>
      <c r="J11" s="1304">
        <f>'pü.mérleg Önkorm.'!J11+'pü.mérleg Hivatal'!J13+'püm. GAMESZ. '!J13+püm.Brunszvik!J13+'püm Festetics'!J13+'püm-TASZII.'!J13</f>
        <v>129474</v>
      </c>
      <c r="K11" s="1320">
        <f>'pü.mérleg Önkorm.'!K11+'pü.mérleg Hivatal'!K13+'püm. GAMESZ. '!K13+püm.Brunszvik!K13+'püm Festetics'!K13+'püm-TASZII.'!K13</f>
        <v>941669</v>
      </c>
      <c r="L11" s="1306" t="s">
        <v>216</v>
      </c>
      <c r="M11" s="1304">
        <f>'pü.mérleg Önkorm.'!M11+'pü.mérleg Hivatal'!M13+'püm. GAMESZ. '!M13+püm.Brunszvik!M13+'püm-TASZII.'!M13+'püm Festetics'!M13</f>
        <v>119781</v>
      </c>
      <c r="N11" s="1304">
        <f>'pü.mérleg Önkorm.'!N11+'pü.mérleg Hivatal'!N13+'püm. GAMESZ. '!N13+püm.Brunszvik!N13+'püm-TASZII.'!N13+'püm Festetics'!N13</f>
        <v>94187</v>
      </c>
      <c r="O11" s="1304">
        <f>SUM(M11:N11)</f>
        <v>213968</v>
      </c>
      <c r="P11" s="124">
        <f>'pü.mérleg Önkorm.'!Q11+'pü.mérleg Hivatal'!P13+'püm. GAMESZ. '!P13+püm.Brunszvik!P13+'püm Festetics'!P13+'püm-TASZII.'!P13</f>
        <v>1750</v>
      </c>
      <c r="Q11" s="124">
        <f>'pü.mérleg Önkorm.'!R11+'pü.mérleg Hivatal'!Q13+'püm. GAMESZ. '!Q13+püm.Brunszvik!Q13+'püm Festetics'!Q13+'püm-TASZII.'!Q13</f>
        <v>-7957</v>
      </c>
      <c r="R11" s="124">
        <f>'pü.mérleg Önkorm.'!S11+'pü.mérleg Hivatal'!R13+'püm. GAMESZ. '!R13+püm.Brunszvik!R13+'püm Festetics'!R13+'püm-TASZII.'!R13</f>
        <v>121531</v>
      </c>
      <c r="S11" s="124">
        <f>'pü.mérleg Önkorm.'!T11+'pü.mérleg Hivatal'!S13+'püm. GAMESZ. '!S13+püm.Brunszvik!S13+'püm Festetics'!S13+'püm-TASZII.'!S13</f>
        <v>86230</v>
      </c>
      <c r="T11" s="1374">
        <f>'pü.mérleg Önkorm.'!U11+'pü.mérleg Hivatal'!T13+'püm. GAMESZ. '!T13+püm.Brunszvik!T13+'püm Festetics'!T13+'püm-TASZII.'!T13</f>
        <v>207761</v>
      </c>
      <c r="U11" s="10"/>
      <c r="V11" s="10"/>
      <c r="W11" s="10"/>
      <c r="X11" s="10"/>
      <c r="Y11" s="10"/>
    </row>
    <row r="12" spans="1:25" x14ac:dyDescent="0.2">
      <c r="A12" s="1328"/>
      <c r="B12" s="570">
        <f t="shared" si="0"/>
        <v>4</v>
      </c>
      <c r="C12" s="1332" t="s">
        <v>189</v>
      </c>
      <c r="D12" s="1304">
        <f>'pü.mérleg Önkorm.'!D12</f>
        <v>0</v>
      </c>
      <c r="E12" s="1304">
        <f>'pü.mérleg Önkorm.'!E12</f>
        <v>0</v>
      </c>
      <c r="F12" s="1304">
        <f>'pü.mérleg Önkorm.'!F12</f>
        <v>0</v>
      </c>
      <c r="G12" s="1304"/>
      <c r="H12" s="1304"/>
      <c r="I12" s="1304"/>
      <c r="J12" s="1304"/>
      <c r="K12" s="1320"/>
      <c r="L12" s="204" t="s">
        <v>217</v>
      </c>
      <c r="M12" s="1304">
        <f>'pü.mérleg Önkorm.'!M12+'pü.mérleg Hivatal'!M14+'püm. GAMESZ. '!M14+püm.Brunszvik!M14+'püm-TASZII.'!M14+'püm Festetics'!M14</f>
        <v>705212</v>
      </c>
      <c r="N12" s="1304">
        <f>'pü.mérleg Önkorm.'!N12+'pü.mérleg Hivatal'!N14+'püm. GAMESZ. '!N14+püm.Brunszvik!N14+'püm-TASZII.'!N14+'püm Festetics'!N14</f>
        <v>594736</v>
      </c>
      <c r="O12" s="1304">
        <f>SUM(M12:N12)</f>
        <v>1299948</v>
      </c>
      <c r="P12" s="124">
        <f>'pü.mérleg Önkorm.'!Q12+'pü.mérleg Hivatal'!P14+'püm. GAMESZ. '!P14+püm.Brunszvik!P14+'püm Festetics'!P14+'püm-TASZII.'!P14</f>
        <v>8664</v>
      </c>
      <c r="Q12" s="124">
        <f>'pü.mérleg Önkorm.'!R12+'pü.mérleg Hivatal'!Q14+'püm. GAMESZ. '!Q14+püm.Brunszvik!Q14+'püm Festetics'!Q14+'püm-TASZII.'!Q14</f>
        <v>-10718</v>
      </c>
      <c r="R12" s="124">
        <f>'pü.mérleg Önkorm.'!S12+'pü.mérleg Hivatal'!R14+'püm. GAMESZ. '!R14+püm.Brunszvik!R14+'püm Festetics'!R14+'püm-TASZII.'!R14</f>
        <v>713876</v>
      </c>
      <c r="S12" s="124">
        <f>'pü.mérleg Önkorm.'!T12+'pü.mérleg Hivatal'!S14+'püm. GAMESZ. '!S14+püm.Brunszvik!S14+'püm Festetics'!S14+'püm-TASZII.'!S14</f>
        <v>584018</v>
      </c>
      <c r="T12" s="1374">
        <f>'pü.mérleg Önkorm.'!U12+'pü.mérleg Hivatal'!T14+'püm. GAMESZ. '!T14+püm.Brunszvik!T14+'püm Festetics'!T14+'püm-TASZII.'!T14</f>
        <v>1297894</v>
      </c>
      <c r="U12" s="10"/>
      <c r="V12" s="10"/>
      <c r="W12" s="10"/>
      <c r="X12" s="10"/>
      <c r="Y12" s="10"/>
    </row>
    <row r="13" spans="1:25" ht="12" customHeight="1" x14ac:dyDescent="0.2">
      <c r="A13" s="1328"/>
      <c r="B13" s="570">
        <f t="shared" si="0"/>
        <v>5</v>
      </c>
      <c r="C13" s="1333" t="s">
        <v>192</v>
      </c>
      <c r="D13" s="1304">
        <f>'tám, végl. pe.átv  '!C38+'tám, végl. pe.átv  '!C48+'tám, végl. pe.átv  '!C54+'tám, végl. pe.átv  '!C71</f>
        <v>84962</v>
      </c>
      <c r="E13" s="1304">
        <f>'tám, végl. pe.átv  '!D38+'tám, végl. pe.átv  '!D48+'tám, végl. pe.átv  '!D54+'tám, végl. pe.átv  '!D71+'tám, végl. pe.átv  '!D59</f>
        <v>13766</v>
      </c>
      <c r="F13" s="1304">
        <f>'tám, végl. pe.átv  '!E38+'tám, végl. pe.átv  '!E48+'tám, végl. pe.átv  '!E54+'tám, végl. pe.átv  '!E71+'tám, végl. pe.átv  '!E59</f>
        <v>98728</v>
      </c>
      <c r="G13" s="1304">
        <f>'pü.mérleg Önkorm.'!G13+'pü.mérleg Hivatal'!G14+'püm. GAMESZ. '!G14+püm.Brunszvik!G14+'püm Festetics'!G14+'püm-TASZII.'!G14</f>
        <v>-4621</v>
      </c>
      <c r="H13" s="1304">
        <f>'pü.mérleg Önkorm.'!H13+'pü.mérleg Hivatal'!H14+'püm. GAMESZ. '!H14+püm.Brunszvik!H14+'püm Festetics'!H14+'püm-TASZII.'!H14</f>
        <v>-7424</v>
      </c>
      <c r="I13" s="1304">
        <f>'pü.mérleg Önkorm.'!I13+'pü.mérleg Hivatal'!I14+'püm. GAMESZ. '!I14+püm.Brunszvik!I14+'püm Festetics'!I14+'püm-TASZII.'!I14</f>
        <v>80341</v>
      </c>
      <c r="J13" s="1304">
        <f>'pü.mérleg Önkorm.'!J13+'pü.mérleg Hivatal'!J14+'püm. GAMESZ. '!J14+püm.Brunszvik!J14+'püm Festetics'!J14+'püm-TASZII.'!J14</f>
        <v>6342</v>
      </c>
      <c r="K13" s="1320">
        <f>'pü.mérleg Önkorm.'!K13+'pü.mérleg Hivatal'!K14+'püm. GAMESZ. '!K14+püm.Brunszvik!K14+'püm Festetics'!K14+'püm-TASZII.'!K14</f>
        <v>86683</v>
      </c>
      <c r="L13" s="204"/>
      <c r="M13" s="1304"/>
      <c r="N13" s="1304"/>
      <c r="O13" s="1305"/>
      <c r="P13" s="124"/>
      <c r="Q13" s="124"/>
      <c r="R13" s="124"/>
      <c r="S13" s="124"/>
      <c r="T13" s="1374"/>
      <c r="U13" s="10"/>
      <c r="V13" s="10"/>
      <c r="W13" s="10"/>
      <c r="X13" s="10"/>
      <c r="Y13" s="10"/>
    </row>
    <row r="14" spans="1:25" x14ac:dyDescent="0.2">
      <c r="A14" s="1328"/>
      <c r="B14" s="570">
        <f t="shared" si="0"/>
        <v>6</v>
      </c>
      <c r="C14" s="1332" t="s">
        <v>1117</v>
      </c>
      <c r="D14" s="1304"/>
      <c r="E14" s="1304"/>
      <c r="F14" s="1304"/>
      <c r="G14" s="1304"/>
      <c r="H14" s="1304"/>
      <c r="I14" s="1304"/>
      <c r="J14" s="1304"/>
      <c r="K14" s="1320"/>
      <c r="L14" s="204" t="s">
        <v>218</v>
      </c>
      <c r="M14" s="1304">
        <f>'pü.mérleg Önkorm.'!M14+'pü.mérleg Hivatal'!M16</f>
        <v>3039</v>
      </c>
      <c r="N14" s="1304">
        <f>'pü.mérleg Önkorm.'!N14+'pü.mérleg Hivatal'!N16</f>
        <v>10950</v>
      </c>
      <c r="O14" s="1304">
        <f>'pü.mérleg Önkorm.'!O14+'pü.mérleg Hivatal'!O16</f>
        <v>13989</v>
      </c>
      <c r="P14" s="124">
        <f>'pü.mérleg Önkorm.'!Q14+'pü.mérleg Hivatal'!P16+'püm. GAMESZ. '!P16+püm.Brunszvik!P16+'püm Festetics'!P16+'püm-TASZII.'!P16</f>
        <v>-513</v>
      </c>
      <c r="Q14" s="124">
        <f>'pü.mérleg Önkorm.'!R14+'pü.mérleg Hivatal'!Q16+'püm. GAMESZ. '!Q16+püm.Brunszvik!Q16+'püm Festetics'!Q16+'püm-TASZII.'!Q16</f>
        <v>163</v>
      </c>
      <c r="R14" s="124">
        <f>'pü.mérleg Önkorm.'!S14+'pü.mérleg Hivatal'!R16+'püm. GAMESZ. '!R16+püm.Brunszvik!R16+'püm Festetics'!R16+'püm-TASZII.'!R16</f>
        <v>2526</v>
      </c>
      <c r="S14" s="124">
        <f>'pü.mérleg Önkorm.'!T14+'pü.mérleg Hivatal'!S16+'püm. GAMESZ. '!S16+püm.Brunszvik!S16+'püm Festetics'!S16+'püm-TASZII.'!S16</f>
        <v>11113</v>
      </c>
      <c r="T14" s="1374">
        <f>'pü.mérleg Önkorm.'!U14+'pü.mérleg Hivatal'!T16+'püm. GAMESZ. '!T16+püm.Brunszvik!T16+'püm Festetics'!T16+'püm-TASZII.'!T16</f>
        <v>13639</v>
      </c>
      <c r="U14" s="10"/>
      <c r="V14" s="10"/>
      <c r="W14" s="10"/>
      <c r="X14" s="10"/>
      <c r="Y14" s="10"/>
    </row>
    <row r="15" spans="1:25" x14ac:dyDescent="0.2">
      <c r="A15" s="1328"/>
      <c r="B15" s="570">
        <f t="shared" si="0"/>
        <v>7</v>
      </c>
      <c r="C15" s="1332" t="s">
        <v>1115</v>
      </c>
      <c r="D15" s="1304">
        <f>'pü.mérleg Önkorm.'!D15</f>
        <v>0</v>
      </c>
      <c r="E15" s="1304">
        <f>'pü.mérleg Önkorm.'!E15</f>
        <v>0</v>
      </c>
      <c r="F15" s="1304">
        <f>'pü.mérleg Önkorm.'!F15</f>
        <v>0</v>
      </c>
      <c r="G15" s="1304"/>
      <c r="H15" s="1304"/>
      <c r="I15" s="1304"/>
      <c r="J15" s="1304"/>
      <c r="K15" s="1320"/>
      <c r="L15" s="204"/>
      <c r="M15" s="1304"/>
      <c r="N15" s="1304"/>
      <c r="O15" s="1304"/>
      <c r="P15" s="124"/>
      <c r="Q15" s="124"/>
      <c r="R15" s="124"/>
      <c r="S15" s="124"/>
      <c r="T15" s="1374"/>
      <c r="U15" s="10"/>
      <c r="V15" s="10"/>
      <c r="W15" s="10"/>
      <c r="X15" s="10"/>
      <c r="Y15" s="10"/>
    </row>
    <row r="16" spans="1:25" x14ac:dyDescent="0.2">
      <c r="A16" s="1328"/>
      <c r="B16" s="570">
        <f t="shared" si="0"/>
        <v>8</v>
      </c>
      <c r="C16" s="1334" t="s">
        <v>1116</v>
      </c>
      <c r="D16" s="1304">
        <f>'pü.mérleg Önkorm.'!D16+'pü.mérleg Hivatal'!D16+'püm. GAMESZ. '!D16+püm.Brunszvik!D16+'püm Festetics'!D16+'püm-TASZII.'!D16</f>
        <v>621278</v>
      </c>
      <c r="E16" s="1304">
        <f>'pü.mérleg Önkorm.'!E16+'pü.mérleg Hivatal'!E16+'püm. GAMESZ. '!E16+püm.Brunszvik!E16+'püm Festetics'!E16+'püm-TASZII.'!E16</f>
        <v>14540</v>
      </c>
      <c r="F16" s="1304">
        <f>'pü.mérleg Önkorm.'!F16+'pü.mérleg Hivatal'!F16+'püm. GAMESZ. '!F16+püm.Brunszvik!F16+'püm Festetics'!F16+'püm-TASZII.'!F16</f>
        <v>635818</v>
      </c>
      <c r="G16" s="1304">
        <f>'pü.mérleg Önkorm.'!G16+'pü.mérleg Hivatal'!G16+'püm. GAMESZ. '!G16+püm.Brunszvik!G16+'püm Festetics'!G16+'püm-TASZII.'!G16</f>
        <v>0</v>
      </c>
      <c r="H16" s="1304">
        <f>'pü.mérleg Önkorm.'!H16+'pü.mérleg Hivatal'!H16+'püm. GAMESZ. '!H16+püm.Brunszvik!H16+'püm Festetics'!H16+'püm-TASZII.'!H16</f>
        <v>0</v>
      </c>
      <c r="I16" s="1304">
        <f>'pü.mérleg Önkorm.'!I16+'pü.mérleg Hivatal'!I16+'püm. GAMESZ. '!I16+püm.Brunszvik!I16+'püm Festetics'!I16+'püm-TASZII.'!I16</f>
        <v>621278</v>
      </c>
      <c r="J16" s="1304">
        <f>'pü.mérleg Önkorm.'!J16+'pü.mérleg Hivatal'!J16+'püm. GAMESZ. '!J16+püm.Brunszvik!J16+'püm Festetics'!J16+'püm-TASZII.'!J16</f>
        <v>14540</v>
      </c>
      <c r="K16" s="1320">
        <f>'pü.mérleg Önkorm.'!K16+'pü.mérleg Hivatal'!K16+'püm. GAMESZ. '!K16+püm.Brunszvik!K16+'püm Festetics'!K16+'püm-TASZII.'!K16</f>
        <v>635818</v>
      </c>
      <c r="L16" s="204" t="s">
        <v>219</v>
      </c>
      <c r="M16" s="1304"/>
      <c r="N16" s="1304"/>
      <c r="O16" s="1305"/>
      <c r="P16" s="124"/>
      <c r="Q16" s="124"/>
      <c r="R16" s="124"/>
      <c r="S16" s="124"/>
      <c r="T16" s="1374"/>
      <c r="U16" s="10"/>
      <c r="V16" s="10"/>
      <c r="W16" s="10"/>
      <c r="X16" s="10"/>
      <c r="Y16" s="10"/>
    </row>
    <row r="17" spans="1:25" x14ac:dyDescent="0.2">
      <c r="A17" s="1328"/>
      <c r="B17" s="570">
        <f t="shared" si="0"/>
        <v>9</v>
      </c>
      <c r="C17" s="1332" t="s">
        <v>193</v>
      </c>
      <c r="D17" s="1304">
        <f>'pü.mérleg Önkorm.'!D17+'püm. GAMESZ. '!D18+püm.Brunszvik!D18+'püm-TASZII.'!D18+'pü.mérleg Hivatal'!D17+püm.Brunszvik!D18</f>
        <v>377747</v>
      </c>
      <c r="E17" s="1304">
        <f>'mük. bev.Önkor és Hivatal '!F40</f>
        <v>862657</v>
      </c>
      <c r="F17" s="1304">
        <f>SUM(D17:E17)</f>
        <v>1240404</v>
      </c>
      <c r="G17" s="1304">
        <f>'pü.mérleg Önkorm.'!G17</f>
        <v>149477</v>
      </c>
      <c r="H17" s="1304">
        <f>'pü.mérleg Önkorm.'!H17</f>
        <v>13603</v>
      </c>
      <c r="I17" s="1304">
        <f>'pü.mérleg Önkorm.'!I17</f>
        <v>527224</v>
      </c>
      <c r="J17" s="1304">
        <f>'pü.mérleg Önkorm.'!J17</f>
        <v>876260</v>
      </c>
      <c r="K17" s="1320">
        <f>'pü.mérleg Önkorm.'!K17</f>
        <v>1403484</v>
      </c>
      <c r="L17" s="204" t="s">
        <v>220</v>
      </c>
      <c r="M17" s="1304">
        <f>'pü.mérleg Önkorm.'!M17+'pü.mérleg Hivatal'!M18</f>
        <v>9776</v>
      </c>
      <c r="N17" s="1304">
        <f>'pü.mérleg Önkorm.'!N17+'pü.mérleg Hivatal'!N18</f>
        <v>58216</v>
      </c>
      <c r="O17" s="1304">
        <f>'pü.mérleg Önkorm.'!O17+'pü.mérleg Hivatal'!O18</f>
        <v>67992</v>
      </c>
      <c r="P17" s="124">
        <f>'pü.mérleg Önkorm.'!Q17+'pü.mérleg Önkorm.'!Q17+'pü.mérleg Hivatal'!P18</f>
        <v>13</v>
      </c>
      <c r="Q17" s="124">
        <f>'pü.mérleg Önkorm.'!R17+'pü.mérleg Hivatal'!Q18</f>
        <v>-67</v>
      </c>
      <c r="R17" s="124">
        <f>'pü.mérleg Önkorm.'!S17+'pü.mérleg Hivatal'!R18</f>
        <v>9789</v>
      </c>
      <c r="S17" s="124">
        <f>'pü.mérleg Önkorm.'!T17+'pü.mérleg Hivatal'!S18</f>
        <v>58149</v>
      </c>
      <c r="T17" s="1374">
        <f>'pü.mérleg Önkorm.'!U17+'pü.mérleg Hivatal'!T18</f>
        <v>67938</v>
      </c>
      <c r="U17" s="10"/>
      <c r="V17" s="10"/>
      <c r="W17" s="10"/>
      <c r="X17" s="10"/>
      <c r="Y17" s="10"/>
    </row>
    <row r="18" spans="1:25" x14ac:dyDescent="0.2">
      <c r="A18" s="1328"/>
      <c r="B18" s="570">
        <f t="shared" si="0"/>
        <v>10</v>
      </c>
      <c r="C18" s="1335" t="s">
        <v>40</v>
      </c>
      <c r="D18" s="1304">
        <f>'pü.mérleg Önkorm.'!D18+'püm. GAMESZ. '!D19+püm.Brunszvik!D19+'püm-TASZII.'!D19+'pü.mérleg Hivatal'!D18+püm.Brunszvik!D19</f>
        <v>0</v>
      </c>
      <c r="E18" s="1305"/>
      <c r="F18" s="1305"/>
      <c r="G18" s="1305"/>
      <c r="H18" s="1305"/>
      <c r="I18" s="1305"/>
      <c r="J18" s="1305"/>
      <c r="K18" s="1321"/>
      <c r="L18" s="204" t="s">
        <v>221</v>
      </c>
      <c r="M18" s="1304">
        <f>'pü.mérleg Önkorm.'!M18+'pü.mérleg Hivatal'!M19</f>
        <v>159089</v>
      </c>
      <c r="N18" s="1304">
        <f>'pü.mérleg Önkorm.'!N18+'pü.mérleg Hivatal'!N19</f>
        <v>177206</v>
      </c>
      <c r="O18" s="1304">
        <f>'pü.mérleg Önkorm.'!O18+'pü.mérleg Hivatal'!O19</f>
        <v>336295</v>
      </c>
      <c r="P18" s="124">
        <f>'pü.mérleg Önkorm.'!Q18+'pü.mérleg Önkorm.'!Q18+'pü.mérleg Hivatal'!P19</f>
        <v>9</v>
      </c>
      <c r="Q18" s="124">
        <f>'pü.mérleg Önkorm.'!R18</f>
        <v>-2171</v>
      </c>
      <c r="R18" s="124">
        <f>M18+P18</f>
        <v>159098</v>
      </c>
      <c r="S18" s="124">
        <f>N18+Q18</f>
        <v>175035</v>
      </c>
      <c r="T18" s="1374">
        <f>R18+S18</f>
        <v>334133</v>
      </c>
      <c r="U18" s="10"/>
      <c r="V18" s="10"/>
      <c r="W18" s="10"/>
      <c r="X18" s="10"/>
      <c r="Y18" s="10"/>
    </row>
    <row r="19" spans="1:25" x14ac:dyDescent="0.2">
      <c r="A19" s="1328"/>
      <c r="B19" s="570">
        <f t="shared" si="0"/>
        <v>11</v>
      </c>
      <c r="C19" s="1335"/>
      <c r="D19" s="1304"/>
      <c r="E19" s="1305"/>
      <c r="F19" s="1305"/>
      <c r="G19" s="1305"/>
      <c r="H19" s="1305"/>
      <c r="I19" s="1305"/>
      <c r="J19" s="1305"/>
      <c r="K19" s="1321"/>
      <c r="L19" s="204" t="s">
        <v>222</v>
      </c>
      <c r="M19" s="1304">
        <f>'pü.mérleg Önkorm.'!M19+'pü.mérleg Hivatal'!M20+'püm. GAMESZ. '!M20+püm.Brunszvik!M20+'püm Festetics'!M20+'püm-TASZII.'!M20</f>
        <v>0</v>
      </c>
      <c r="N19" s="1304">
        <f>'pü.mérleg Önkorm.'!N19+'pü.mérleg Hivatal'!N20+'püm. GAMESZ. '!N20+püm.Brunszvik!N20+'püm Festetics'!N20+'püm-TASZII.'!N20</f>
        <v>0</v>
      </c>
      <c r="O19" s="1304">
        <f>'pü.mérleg Önkorm.'!O19+'pü.mérleg Hivatal'!O20+'püm. GAMESZ. '!O20+püm.Brunszvik!O20+'püm Festetics'!O20+'püm-TASZII.'!O20</f>
        <v>0</v>
      </c>
      <c r="P19" s="124"/>
      <c r="Q19" s="124"/>
      <c r="R19" s="124"/>
      <c r="S19" s="124"/>
      <c r="T19" s="1374"/>
      <c r="U19" s="10"/>
      <c r="V19" s="10"/>
      <c r="W19" s="10"/>
      <c r="X19" s="10"/>
      <c r="Y19" s="10"/>
    </row>
    <row r="20" spans="1:25" x14ac:dyDescent="0.2">
      <c r="A20" s="1328"/>
      <c r="B20" s="570">
        <f t="shared" si="0"/>
        <v>12</v>
      </c>
      <c r="C20" s="1332" t="s">
        <v>194</v>
      </c>
      <c r="D20" s="1304">
        <f>'pü.mérleg Önkorm.'!D20+'pü.mérleg Hivatal'!D20+'püm. GAMESZ. '!D20+püm.Brunszvik!D20+'püm-TASZII.'!D20+'püm Festetics'!D20</f>
        <v>330675</v>
      </c>
      <c r="E20" s="1304">
        <f>'pü.mérleg Önkorm.'!E20+'pü.mérleg Hivatal'!E20+'püm. GAMESZ. '!E20+püm.Brunszvik!E20+'püm-TASZII.'!E20+'püm Festetics'!E20</f>
        <v>307618</v>
      </c>
      <c r="F20" s="1304">
        <f>SUM(D20:E20)</f>
        <v>638293</v>
      </c>
      <c r="G20" s="1304">
        <f>'pü.mérleg Önkorm.'!G20+'pü.mérleg Hivatal'!G20+'püm. GAMESZ. '!G20+püm.Brunszvik!G20+'püm Festetics'!G20+'püm-TASZII.'!G20</f>
        <v>-13145</v>
      </c>
      <c r="H20" s="1304">
        <f>'pü.mérleg Önkorm.'!H20+'pü.mérleg Hivatal'!H20+'püm. GAMESZ. '!H20+püm.Brunszvik!H20+'püm Festetics'!H20+'püm-TASZII.'!H20</f>
        <v>-70397</v>
      </c>
      <c r="I20" s="1304">
        <f>'pü.mérleg Önkorm.'!I20+'pü.mérleg Hivatal'!I20+'püm. GAMESZ. '!I20+püm.Brunszvik!I20+'püm Festetics'!I20+'püm-TASZII.'!I20</f>
        <v>317530</v>
      </c>
      <c r="J20" s="1304">
        <f>'pü.mérleg Önkorm.'!J20+'pü.mérleg Hivatal'!J20+'püm. GAMESZ. '!J20+püm.Brunszvik!J20+'püm Festetics'!J20+'püm-TASZII.'!J20</f>
        <v>237221</v>
      </c>
      <c r="K20" s="1320">
        <f>'pü.mérleg Önkorm.'!K20+'pü.mérleg Hivatal'!K20+'püm. GAMESZ. '!K20+püm.Brunszvik!K20+'püm Festetics'!K20+'püm-TASZII.'!K20</f>
        <v>554751</v>
      </c>
      <c r="L20" s="204" t="s">
        <v>223</v>
      </c>
      <c r="M20" s="1304"/>
      <c r="N20" s="1304">
        <f>'pü.mérleg Önkorm.'!N20</f>
        <v>3192</v>
      </c>
      <c r="O20" s="1305">
        <f>SUM(M20:N20)</f>
        <v>3192</v>
      </c>
      <c r="P20" s="124">
        <f>'pü.mérleg Önkorm.'!Q20</f>
        <v>0</v>
      </c>
      <c r="Q20" s="124">
        <f>'pü.mérleg Önkorm.'!R20</f>
        <v>-723</v>
      </c>
      <c r="R20" s="124">
        <f>'pü.mérleg Önkorm.'!S20</f>
        <v>0</v>
      </c>
      <c r="S20" s="124">
        <f>'pü.mérleg Önkorm.'!T20</f>
        <v>2469</v>
      </c>
      <c r="T20" s="1374">
        <f>'pü.mérleg Önkorm.'!U20</f>
        <v>2469</v>
      </c>
      <c r="U20" s="10"/>
      <c r="V20" s="10"/>
      <c r="W20" s="10"/>
      <c r="X20" s="10"/>
      <c r="Y20" s="10"/>
    </row>
    <row r="21" spans="1:25" x14ac:dyDescent="0.2">
      <c r="A21" s="1328"/>
      <c r="B21" s="570">
        <f t="shared" si="0"/>
        <v>13</v>
      </c>
      <c r="C21" s="1336"/>
      <c r="D21" s="1305"/>
      <c r="E21" s="1305"/>
      <c r="F21" s="1305"/>
      <c r="G21" s="1305"/>
      <c r="H21" s="1305"/>
      <c r="I21" s="1305"/>
      <c r="J21" s="1305"/>
      <c r="K21" s="1321"/>
      <c r="L21" s="204" t="s">
        <v>224</v>
      </c>
      <c r="M21" s="1304">
        <f>'pü.mérleg Önkorm.'!M21</f>
        <v>55223</v>
      </c>
      <c r="N21" s="1304">
        <f>'pü.mérleg Önkorm.'!N21</f>
        <v>563</v>
      </c>
      <c r="O21" s="1305">
        <f>SUM(M21:N21)</f>
        <v>55786</v>
      </c>
      <c r="P21" s="124">
        <f>'pü.mérleg Önkorm.'!Q21</f>
        <v>74845</v>
      </c>
      <c r="Q21" s="124">
        <f>'pü.mérleg Önkorm.'!R21</f>
        <v>1226</v>
      </c>
      <c r="R21" s="124">
        <f>'pü.mérleg Önkorm.'!S21</f>
        <v>130068</v>
      </c>
      <c r="S21" s="124">
        <f>'pü.mérleg Önkorm.'!T21</f>
        <v>1789</v>
      </c>
      <c r="T21" s="1374">
        <f>'pü.mérleg Önkorm.'!U21</f>
        <v>131857</v>
      </c>
      <c r="U21" s="10"/>
      <c r="V21" s="10"/>
      <c r="W21" s="10"/>
      <c r="X21" s="10"/>
      <c r="Y21" s="10"/>
    </row>
    <row r="22" spans="1:25" s="101" customFormat="1" x14ac:dyDescent="0.2">
      <c r="A22" s="1329"/>
      <c r="B22" s="570">
        <f t="shared" si="0"/>
        <v>14</v>
      </c>
      <c r="C22" s="1332" t="s">
        <v>196</v>
      </c>
      <c r="D22" s="1305"/>
      <c r="E22" s="1305"/>
      <c r="F22" s="1305"/>
      <c r="G22" s="1305"/>
      <c r="H22" s="1305"/>
      <c r="I22" s="1305"/>
      <c r="J22" s="1305"/>
      <c r="K22" s="1321"/>
      <c r="L22" s="1304"/>
      <c r="M22" s="1304"/>
      <c r="N22" s="1304"/>
      <c r="O22" s="1304"/>
      <c r="P22" s="1307"/>
      <c r="Q22" s="1307"/>
      <c r="R22" s="1307"/>
      <c r="S22" s="1307"/>
      <c r="T22" s="1329"/>
    </row>
    <row r="23" spans="1:25" s="101" customFormat="1" x14ac:dyDescent="0.2">
      <c r="A23" s="1329"/>
      <c r="B23" s="570">
        <f t="shared" si="0"/>
        <v>15</v>
      </c>
      <c r="C23" s="1332" t="s">
        <v>195</v>
      </c>
      <c r="D23" s="1305"/>
      <c r="E23" s="1305"/>
      <c r="F23" s="1305"/>
      <c r="G23" s="1305"/>
      <c r="H23" s="1305"/>
      <c r="I23" s="1305"/>
      <c r="J23" s="1305"/>
      <c r="K23" s="1321"/>
      <c r="L23" s="1304"/>
      <c r="M23" s="1304"/>
      <c r="N23" s="1304"/>
      <c r="O23" s="1304"/>
      <c r="P23" s="1307"/>
      <c r="Q23" s="1307"/>
      <c r="R23" s="1307"/>
      <c r="S23" s="1307"/>
      <c r="T23" s="1329"/>
    </row>
    <row r="24" spans="1:25" x14ac:dyDescent="0.2">
      <c r="A24" s="1328"/>
      <c r="B24" s="570">
        <f t="shared" si="0"/>
        <v>16</v>
      </c>
      <c r="C24" s="1332" t="s">
        <v>198</v>
      </c>
      <c r="D24" s="1304">
        <f>'felh. bev.  '!D12</f>
        <v>19447</v>
      </c>
      <c r="E24" s="1304">
        <f>'pü.mérleg Önkorm.'!E24+'pü.mérleg Hivatal'!E24+'püm. GAMESZ. '!E24+püm.Brunszvik!E24+'püm-TASZII.'!E24</f>
        <v>29300</v>
      </c>
      <c r="F24" s="1305">
        <f>SUM(D24:E24)</f>
        <v>48747</v>
      </c>
      <c r="G24" s="1305"/>
      <c r="H24" s="1305">
        <f>'pü.mérleg Önkorm.'!H24</f>
        <v>11500</v>
      </c>
      <c r="I24" s="1305">
        <f>'pü.mérleg Önkorm.'!I24</f>
        <v>19447</v>
      </c>
      <c r="J24" s="1305">
        <f>'pü.mérleg Önkorm.'!J24</f>
        <v>40800</v>
      </c>
      <c r="K24" s="1321">
        <f>'pü.mérleg Önkorm.'!K24</f>
        <v>60247</v>
      </c>
      <c r="L24" s="1308" t="s">
        <v>66</v>
      </c>
      <c r="M24" s="1308">
        <f>SUM(M10:M22)</f>
        <v>1633771</v>
      </c>
      <c r="N24" s="1308">
        <f>SUM(N10:N22)</f>
        <v>1371275</v>
      </c>
      <c r="O24" s="1308">
        <f>SUM(O10:O22)</f>
        <v>3005046</v>
      </c>
      <c r="P24" s="1354">
        <f>SUM(P10:P23)</f>
        <v>105604</v>
      </c>
      <c r="Q24" s="1354">
        <f>SUM(Q10:Q23)</f>
        <v>-46995</v>
      </c>
      <c r="R24" s="1354">
        <f t="shared" ref="R24:T24" si="1">SUM(R10:R23)</f>
        <v>1739375</v>
      </c>
      <c r="S24" s="1354">
        <f t="shared" si="1"/>
        <v>1324280</v>
      </c>
      <c r="T24" s="339">
        <f t="shared" si="1"/>
        <v>3063655</v>
      </c>
      <c r="U24" s="10"/>
      <c r="V24" s="10"/>
      <c r="W24" s="10"/>
      <c r="X24" s="10"/>
      <c r="Y24" s="10"/>
    </row>
    <row r="25" spans="1:25" x14ac:dyDescent="0.2">
      <c r="A25" s="1328"/>
      <c r="B25" s="570">
        <f t="shared" si="0"/>
        <v>17</v>
      </c>
      <c r="C25" s="1332" t="s">
        <v>199</v>
      </c>
      <c r="D25" s="1305">
        <f>'felh. bev.  '!D13</f>
        <v>0</v>
      </c>
      <c r="E25" s="1305">
        <f>'felh. bev.  '!E13+'felh. bev.  '!E14+'felh. bev.  '!E44</f>
        <v>1309</v>
      </c>
      <c r="F25" s="1305">
        <f>'felh. bev.  '!F13+'felh. bev.  '!F14+'felh. bev.  '!F44</f>
        <v>1309</v>
      </c>
      <c r="G25" s="1305">
        <f>'pü.mérleg Önkorm.'!G25+'pü.mérleg Hivatal'!G25+'püm. GAMESZ. '!G25+püm.Brunszvik!G25+'püm Festetics'!G25+'püm-TASZII.'!G25</f>
        <v>1285</v>
      </c>
      <c r="H25" s="1305">
        <f>'pü.mérleg Önkorm.'!H25+'pü.mérleg Hivatal'!H25+'püm. GAMESZ. '!H25+püm.Brunszvik!H25+'püm Festetics'!H25+'püm-TASZII.'!H25</f>
        <v>-1232</v>
      </c>
      <c r="I25" s="1305">
        <f>'pü.mérleg Önkorm.'!I25+'pü.mérleg Hivatal'!I25+'püm. GAMESZ. '!I25+püm.Brunszvik!I25+'püm Festetics'!I25+'püm-TASZII.'!I25</f>
        <v>1285</v>
      </c>
      <c r="J25" s="1305">
        <f>'pü.mérleg Önkorm.'!J25+'pü.mérleg Hivatal'!J25+'püm. GAMESZ. '!J25+püm.Brunszvik!J25+'püm Festetics'!J25+'püm-TASZII.'!J25</f>
        <v>77</v>
      </c>
      <c r="K25" s="1321">
        <f>'pü.mérleg Önkorm.'!K25+'pü.mérleg Hivatal'!K25+'püm. GAMESZ. '!K25+püm.Brunszvik!K25+'püm Festetics'!K25+'püm-TASZII.'!K25</f>
        <v>1362</v>
      </c>
      <c r="L25" s="1304"/>
      <c r="M25" s="1304"/>
      <c r="N25" s="1304"/>
      <c r="O25" s="1304"/>
      <c r="P25" s="1303"/>
      <c r="Q25" s="1303"/>
      <c r="R25" s="1303"/>
      <c r="S25" s="1303"/>
      <c r="T25" s="1328"/>
      <c r="U25" s="10"/>
      <c r="V25" s="10"/>
      <c r="W25" s="10"/>
      <c r="X25" s="10"/>
      <c r="Y25" s="10"/>
    </row>
    <row r="26" spans="1:25" x14ac:dyDescent="0.2">
      <c r="A26" s="1328"/>
      <c r="B26" s="570">
        <f t="shared" si="0"/>
        <v>18</v>
      </c>
      <c r="C26" s="1332" t="s">
        <v>200</v>
      </c>
      <c r="D26" s="1309"/>
      <c r="E26" s="1304">
        <f>'pü.mérleg Önkorm.'!E26</f>
        <v>153924</v>
      </c>
      <c r="F26" s="1305">
        <f>SUM(D26:E26)</f>
        <v>153924</v>
      </c>
      <c r="G26" s="1305">
        <f>'pü.mérleg Önkorm.'!G26+'pü.mérleg Hivatal'!G26+'püm. GAMESZ. '!G26+püm.Brunszvik!G26+'püm Festetics'!G26+'püm-TASZII.'!G26</f>
        <v>0</v>
      </c>
      <c r="H26" s="1305">
        <f>'pü.mérleg Önkorm.'!H26+'pü.mérleg Hivatal'!H26+'püm. GAMESZ. '!H26+püm.Brunszvik!H26+'püm Festetics'!H26+'püm-TASZII.'!H26</f>
        <v>-153744</v>
      </c>
      <c r="I26" s="1305">
        <f>'pü.mérleg Önkorm.'!I26+'pü.mérleg Hivatal'!I26+'püm. GAMESZ. '!I26+püm.Brunszvik!I26+'püm Festetics'!I26+'püm-TASZII.'!I26</f>
        <v>0</v>
      </c>
      <c r="J26" s="1305">
        <f>'pü.mérleg Önkorm.'!J26+'pü.mérleg Hivatal'!J26+'püm. GAMESZ. '!J26+püm.Brunszvik!J26+'püm Festetics'!J26+'püm-TASZII.'!J26</f>
        <v>180</v>
      </c>
      <c r="K26" s="1321">
        <f>'pü.mérleg Önkorm.'!K26+'pü.mérleg Hivatal'!K26+'püm. GAMESZ. '!K26+püm.Brunszvik!K26+'püm Festetics'!K26+'püm-TASZII.'!K26</f>
        <v>180</v>
      </c>
      <c r="L26" s="1310" t="s">
        <v>225</v>
      </c>
      <c r="M26" s="1309"/>
      <c r="N26" s="1309"/>
      <c r="O26" s="1304"/>
      <c r="P26" s="1303"/>
      <c r="Q26" s="1303"/>
      <c r="R26" s="1303"/>
      <c r="S26" s="1303"/>
      <c r="T26" s="1328"/>
      <c r="U26" s="10"/>
      <c r="V26" s="10"/>
      <c r="W26" s="10"/>
      <c r="X26" s="10"/>
      <c r="Y26" s="10"/>
    </row>
    <row r="27" spans="1:25" x14ac:dyDescent="0.2">
      <c r="A27" s="1328"/>
      <c r="B27" s="570">
        <f t="shared" si="0"/>
        <v>19</v>
      </c>
      <c r="C27" s="1332" t="s">
        <v>201</v>
      </c>
      <c r="D27" s="1304"/>
      <c r="E27" s="1304"/>
      <c r="F27" s="1304"/>
      <c r="G27" s="1304"/>
      <c r="H27" s="1304"/>
      <c r="I27" s="1304"/>
      <c r="J27" s="1304"/>
      <c r="K27" s="1320"/>
      <c r="L27" s="204" t="s">
        <v>226</v>
      </c>
      <c r="M27" s="1304">
        <f>'pü.mérleg Önkorm.'!M27+'pü.mérleg Hivatal'!M27+'püm. GAMESZ. '!M27+'püm-TASZII.'!M27+püm.Brunszvik!M27+'püm Festetics'!M27</f>
        <v>1706151</v>
      </c>
      <c r="N27" s="1304">
        <f>'pü.mérleg Önkorm.'!N27+'pü.mérleg Hivatal'!N27+'püm. GAMESZ. '!N27+'püm-TASZII.'!N27+'püm Festetics'!N27</f>
        <v>202065</v>
      </c>
      <c r="O27" s="1304">
        <f>SUM(M27:N27)</f>
        <v>1908216</v>
      </c>
      <c r="P27" s="124">
        <f>'pü.mérleg Önkorm.'!Q27+'pü.mérleg Hivatal'!P27+'püm. GAMESZ. '!P27+püm.Brunszvik!P27+'püm Festetics'!P27+'püm-TASZII.'!P27</f>
        <v>26103</v>
      </c>
      <c r="Q27" s="124">
        <f>'pü.mérleg Önkorm.'!R27+'pü.mérleg Hivatal'!Q27+'püm. GAMESZ. '!Q27+püm.Brunszvik!Q27+'püm Festetics'!Q27+'püm-TASZII.'!Q27</f>
        <v>-32077</v>
      </c>
      <c r="R27" s="124">
        <f>'pü.mérleg Önkorm.'!S27+'pü.mérleg Hivatal'!R27+'püm. GAMESZ. '!R27+püm.Brunszvik!R27+'püm Festetics'!R27+'püm-TASZII.'!R27</f>
        <v>1732254</v>
      </c>
      <c r="S27" s="124">
        <f>'pü.mérleg Önkorm.'!T27+'pü.mérleg Hivatal'!S27+'püm. GAMESZ. '!S27+püm.Brunszvik!S27+'püm Festetics'!S27+'püm-TASZII.'!S27</f>
        <v>169988</v>
      </c>
      <c r="T27" s="1374">
        <f>'pü.mérleg Önkorm.'!U27+'pü.mérleg Hivatal'!T27+'püm. GAMESZ. '!T27+püm.Brunszvik!T27+'püm Festetics'!T27+'püm-TASZII.'!T27</f>
        <v>1902242</v>
      </c>
      <c r="U27" s="10"/>
      <c r="V27" s="10"/>
      <c r="W27" s="10"/>
      <c r="X27" s="10"/>
      <c r="Y27" s="10"/>
    </row>
    <row r="28" spans="1:25" x14ac:dyDescent="0.2">
      <c r="A28" s="1328"/>
      <c r="B28" s="570">
        <f t="shared" si="0"/>
        <v>20</v>
      </c>
      <c r="C28" s="1332"/>
      <c r="D28" s="1304"/>
      <c r="E28" s="1304"/>
      <c r="F28" s="1304"/>
      <c r="G28" s="1304"/>
      <c r="H28" s="1304"/>
      <c r="I28" s="1304"/>
      <c r="J28" s="1304"/>
      <c r="K28" s="1320"/>
      <c r="L28" s="204" t="s">
        <v>227</v>
      </c>
      <c r="M28" s="1304">
        <f>'felhalm. kiad.  '!N28</f>
        <v>49715</v>
      </c>
      <c r="N28" s="1304">
        <f>'felhalm. kiad.  '!Q28</f>
        <v>0</v>
      </c>
      <c r="O28" s="1304">
        <f>SUM(M28:N28)</f>
        <v>49715</v>
      </c>
      <c r="P28" s="124">
        <f>'pü.mérleg Önkorm.'!Q28+'pü.mérleg Hivatal'!P28+'püm. GAMESZ. '!P28+püm.Brunszvik!P28+'püm Festetics'!P28+'püm-TASZII.'!P28</f>
        <v>0</v>
      </c>
      <c r="Q28" s="124">
        <f>'pü.mérleg Önkorm.'!R28+'pü.mérleg Hivatal'!Q28+'püm. GAMESZ. '!Q28+püm.Brunszvik!Q28+'püm Festetics'!Q28+'püm-TASZII.'!Q28</f>
        <v>0</v>
      </c>
      <c r="R28" s="124">
        <f>'pü.mérleg Önkorm.'!S28+'pü.mérleg Hivatal'!R28+'püm. GAMESZ. '!R28+püm.Brunszvik!R28+'püm Festetics'!R28+'püm-TASZII.'!R28</f>
        <v>49715</v>
      </c>
      <c r="S28" s="124">
        <f>'pü.mérleg Önkorm.'!T28+'pü.mérleg Hivatal'!S28+'püm. GAMESZ. '!S28+püm.Brunszvik!S28+'püm Festetics'!S28+'püm-TASZII.'!S28</f>
        <v>0</v>
      </c>
      <c r="T28" s="1374">
        <f>'pü.mérleg Önkorm.'!U28+'pü.mérleg Hivatal'!T28+'püm. GAMESZ. '!T28+püm.Brunszvik!T28+'püm Festetics'!T28+'püm-TASZII.'!T28</f>
        <v>49715</v>
      </c>
      <c r="U28" s="10"/>
      <c r="V28" s="10"/>
      <c r="W28" s="10"/>
      <c r="X28" s="10"/>
      <c r="Y28" s="10"/>
    </row>
    <row r="29" spans="1:25" x14ac:dyDescent="0.2">
      <c r="A29" s="1328"/>
      <c r="B29" s="570">
        <f t="shared" si="0"/>
        <v>21</v>
      </c>
      <c r="C29" s="1332" t="s">
        <v>202</v>
      </c>
      <c r="D29" s="1304">
        <f>'tám, végl. pe.átv  '!C42+'tám, végl. pe.átv  '!C61</f>
        <v>0</v>
      </c>
      <c r="E29" s="1304">
        <f>'tám, végl. pe.átv  '!D42+'tám, végl. pe.átv  '!D61</f>
        <v>20011</v>
      </c>
      <c r="F29" s="1304">
        <f>'tám, végl. pe.átv  '!E42+'tám, végl. pe.átv  '!E61</f>
        <v>20011</v>
      </c>
      <c r="G29" s="1304">
        <f>'pü.mérleg Önkorm.'!G29+'pü.mérleg Hivatal'!G29+'püm. GAMESZ. '!G29+püm.Brunszvik!G32+'püm Festetics'!G29+'püm-TASZII.'!G29</f>
        <v>0</v>
      </c>
      <c r="H29" s="1304">
        <f>'pü.mérleg Önkorm.'!H29+'pü.mérleg Hivatal'!H29+'püm. GAMESZ. '!H29+püm.Brunszvik!H32+'püm Festetics'!H29+'püm-TASZII.'!H29</f>
        <v>187</v>
      </c>
      <c r="I29" s="1304">
        <f>'pü.mérleg Önkorm.'!I29+'pü.mérleg Hivatal'!I29+'püm. GAMESZ. '!I29+püm.Brunszvik!I32+'püm Festetics'!I29+'püm-TASZII.'!I29</f>
        <v>0</v>
      </c>
      <c r="J29" s="1304">
        <f>'pü.mérleg Önkorm.'!J29+'pü.mérleg Hivatal'!J29+'püm. GAMESZ. '!J29+püm.Brunszvik!J32+'püm Festetics'!J29+'püm-TASZII.'!J29</f>
        <v>20198</v>
      </c>
      <c r="K29" s="1320">
        <f>'pü.mérleg Önkorm.'!K29+'pü.mérleg Hivatal'!K29+'püm. GAMESZ. '!K29+püm.Brunszvik!K32+'püm Festetics'!K29+'püm-TASZII.'!K29</f>
        <v>20198</v>
      </c>
      <c r="L29" s="204" t="s">
        <v>228</v>
      </c>
      <c r="M29" s="1304"/>
      <c r="N29" s="1304"/>
      <c r="O29" s="1304"/>
      <c r="P29" s="1303"/>
      <c r="Q29" s="1303"/>
      <c r="R29" s="1303"/>
      <c r="S29" s="1303"/>
      <c r="T29" s="1328"/>
      <c r="U29" s="10"/>
      <c r="V29" s="10"/>
      <c r="W29" s="10"/>
      <c r="X29" s="10"/>
      <c r="Y29" s="10"/>
    </row>
    <row r="30" spans="1:25" s="101" customFormat="1" x14ac:dyDescent="0.2">
      <c r="A30" s="1329"/>
      <c r="B30" s="570">
        <f t="shared" si="0"/>
        <v>22</v>
      </c>
      <c r="C30" s="1332" t="s">
        <v>203</v>
      </c>
      <c r="D30" s="1304">
        <f>'felh. bev.  '!D34+'felh. bev.  '!D38</f>
        <v>9900</v>
      </c>
      <c r="E30" s="1304">
        <f>'felh. bev.  '!E34+'felh. bev.  '!E38</f>
        <v>4131</v>
      </c>
      <c r="F30" s="1304">
        <f>'felh. bev.  '!F34+'felh. bev.  '!F38</f>
        <v>14031</v>
      </c>
      <c r="G30" s="1304">
        <f>'pü.mérleg Önkorm.'!G30+'pü.mérleg Hivatal'!G30+'püm. GAMESZ. '!G30+püm.Brunszvik!G33+'püm Festetics'!G30+'püm-TASZII.'!G30</f>
        <v>0</v>
      </c>
      <c r="H30" s="1304">
        <f>'pü.mérleg Önkorm.'!H30+'pü.mérleg Hivatal'!H30+'püm. GAMESZ. '!H30+püm.Brunszvik!H33+'püm Festetics'!H30+'püm-TASZII.'!H30</f>
        <v>101</v>
      </c>
      <c r="I30" s="1304">
        <f>'pü.mérleg Önkorm.'!I30+'pü.mérleg Hivatal'!I30+'püm. GAMESZ. '!I30+püm.Brunszvik!I33+'püm Festetics'!I30+'püm-TASZII.'!I30</f>
        <v>9900</v>
      </c>
      <c r="J30" s="1304">
        <f>'pü.mérleg Önkorm.'!J30+'pü.mérleg Hivatal'!J30+'püm. GAMESZ. '!J30+püm.Brunszvik!J33+'püm Festetics'!J30+'püm-TASZII.'!J30</f>
        <v>4232</v>
      </c>
      <c r="K30" s="1320">
        <f>'pü.mérleg Önkorm.'!K30+'pü.mérleg Hivatal'!K30+'püm. GAMESZ. '!K30+püm.Brunszvik!K33+'püm Festetics'!K30+'püm-TASZII.'!K30</f>
        <v>14132</v>
      </c>
      <c r="L30" s="1306" t="s">
        <v>229</v>
      </c>
      <c r="M30" s="1304">
        <f>'felhalm. kiad.  '!N90</f>
        <v>12004</v>
      </c>
      <c r="N30" s="1304">
        <f>'felhalm. kiad.  '!Q90</f>
        <v>78232</v>
      </c>
      <c r="O30" s="1304">
        <f>SUM(M30:N30)</f>
        <v>90236</v>
      </c>
      <c r="P30" s="1307"/>
      <c r="Q30" s="1307"/>
      <c r="R30" s="124">
        <f>M30+P30</f>
        <v>12004</v>
      </c>
      <c r="S30" s="124">
        <f t="shared" ref="S30:T32" si="2">N30+Q30</f>
        <v>78232</v>
      </c>
      <c r="T30" s="1374">
        <f>R30+S30</f>
        <v>90236</v>
      </c>
    </row>
    <row r="31" spans="1:25" s="101" customFormat="1" x14ac:dyDescent="0.2">
      <c r="A31" s="1329"/>
      <c r="B31" s="570">
        <f t="shared" si="0"/>
        <v>23</v>
      </c>
      <c r="C31" s="1332"/>
      <c r="D31" s="204"/>
      <c r="E31" s="204"/>
      <c r="F31" s="204"/>
      <c r="G31" s="204"/>
      <c r="H31" s="204"/>
      <c r="I31" s="204"/>
      <c r="J31" s="204"/>
      <c r="K31" s="353"/>
      <c r="L31" s="1306" t="s">
        <v>1131</v>
      </c>
      <c r="M31" s="1304">
        <f>'pü.mérleg Önkorm.'!M31</f>
        <v>0</v>
      </c>
      <c r="N31" s="1304">
        <f>'pü.mérleg Önkorm.'!N31</f>
        <v>5000</v>
      </c>
      <c r="O31" s="1304">
        <f>'pü.mérleg Önkorm.'!O31</f>
        <v>5000</v>
      </c>
      <c r="P31" s="1307"/>
      <c r="Q31" s="1307"/>
      <c r="R31" s="124">
        <f t="shared" ref="R31:R32" si="3">M31+P31</f>
        <v>0</v>
      </c>
      <c r="S31" s="124">
        <f t="shared" si="2"/>
        <v>5000</v>
      </c>
      <c r="T31" s="1374">
        <f t="shared" ref="T31:T32" si="4">R31+S31</f>
        <v>5000</v>
      </c>
    </row>
    <row r="32" spans="1:25" x14ac:dyDescent="0.2">
      <c r="A32" s="1328"/>
      <c r="B32" s="570">
        <f t="shared" si="0"/>
        <v>24</v>
      </c>
      <c r="C32" s="1336"/>
      <c r="D32" s="204"/>
      <c r="E32" s="204"/>
      <c r="F32" s="204"/>
      <c r="G32" s="204"/>
      <c r="H32" s="204"/>
      <c r="I32" s="204"/>
      <c r="J32" s="204"/>
      <c r="K32" s="353"/>
      <c r="L32" s="1306" t="s">
        <v>279</v>
      </c>
      <c r="M32" s="1304">
        <f>'pü.mérleg Önkorm.'!M32+'pü.mérleg Hivatal'!M31+'püm. GAMESZ. '!M31+'püm-TASZII.'!M31</f>
        <v>53844</v>
      </c>
      <c r="N32" s="1304">
        <f>'pü.mérleg Önkorm.'!N32+'pü.mérleg Hivatal'!N31+'püm. GAMESZ. '!N31+'püm-TASZII.'!N31</f>
        <v>4350</v>
      </c>
      <c r="O32" s="1304">
        <f>SUM(M32:N32)</f>
        <v>58194</v>
      </c>
      <c r="P32" s="1303"/>
      <c r="Q32" s="124">
        <f>'pü.mérleg Önkorm.'!R32</f>
        <v>9530</v>
      </c>
      <c r="R32" s="124">
        <f t="shared" si="3"/>
        <v>53844</v>
      </c>
      <c r="S32" s="124">
        <f t="shared" si="2"/>
        <v>13880</v>
      </c>
      <c r="T32" s="1374">
        <f t="shared" si="4"/>
        <v>67724</v>
      </c>
      <c r="U32" s="10"/>
      <c r="V32" s="10"/>
      <c r="W32" s="10"/>
      <c r="X32" s="10"/>
      <c r="Y32" s="10"/>
    </row>
    <row r="33" spans="1:25" s="11" customFormat="1" x14ac:dyDescent="0.2">
      <c r="A33" s="1330"/>
      <c r="B33" s="570">
        <f t="shared" si="0"/>
        <v>25</v>
      </c>
      <c r="C33" s="1337" t="s">
        <v>52</v>
      </c>
      <c r="D33" s="1311">
        <f>D12+D20+D11+D17+D13+D29</f>
        <v>1604522</v>
      </c>
      <c r="E33" s="1311">
        <f>E12+E20+E11+E17+E13+E29</f>
        <v>1335138</v>
      </c>
      <c r="F33" s="1311">
        <f>F12+F20+F11+F17+F13+F29</f>
        <v>2939660</v>
      </c>
      <c r="G33" s="1311">
        <f>G11+G13+G17+G20+G29</f>
        <v>132768</v>
      </c>
      <c r="H33" s="1311">
        <f t="shared" ref="H33:K33" si="5">H11+H13+H17+H20+H29</f>
        <v>-65643</v>
      </c>
      <c r="I33" s="1311">
        <f t="shared" si="5"/>
        <v>1737290</v>
      </c>
      <c r="J33" s="1311">
        <f t="shared" si="5"/>
        <v>1269495</v>
      </c>
      <c r="K33" s="1322">
        <f t="shared" si="5"/>
        <v>3006785</v>
      </c>
      <c r="L33" s="204" t="s">
        <v>280</v>
      </c>
      <c r="M33" s="1304">
        <f>tartalék!C18</f>
        <v>34770</v>
      </c>
      <c r="N33" s="1304">
        <f>tartalék!D18</f>
        <v>135479</v>
      </c>
      <c r="O33" s="1304">
        <f>tartalék!E18</f>
        <v>170249</v>
      </c>
      <c r="P33" s="124">
        <f>'pü.mérleg Önkorm.'!Q33</f>
        <v>-12379</v>
      </c>
      <c r="Q33" s="124">
        <f>'pü.mérleg Önkorm.'!R33</f>
        <v>-134746</v>
      </c>
      <c r="R33" s="124">
        <f>'pü.mérleg Önkorm.'!S33</f>
        <v>22391</v>
      </c>
      <c r="S33" s="124">
        <f>'pü.mérleg Önkorm.'!T33</f>
        <v>733</v>
      </c>
      <c r="T33" s="1374">
        <f>'pü.mérleg Önkorm.'!U33</f>
        <v>23124</v>
      </c>
    </row>
    <row r="34" spans="1:25" x14ac:dyDescent="0.2">
      <c r="A34" s="1328"/>
      <c r="B34" s="570">
        <f t="shared" si="0"/>
        <v>26</v>
      </c>
      <c r="C34" s="1335" t="s">
        <v>67</v>
      </c>
      <c r="D34" s="1308">
        <f>D15+D16+D23+D24+D25+D26+D27+D30</f>
        <v>650625</v>
      </c>
      <c r="E34" s="1308">
        <f t="shared" ref="E34" si="6">E15+E16+E23+E24+E25+E26+E27+E30</f>
        <v>203204</v>
      </c>
      <c r="F34" s="1308">
        <f>F15+F16+F23+F24+F25+F26+F27+F30</f>
        <v>853829</v>
      </c>
      <c r="G34" s="1308">
        <f>G15+G16+G23+G24+G25+G26+G30</f>
        <v>1285</v>
      </c>
      <c r="H34" s="1308">
        <f t="shared" ref="H34:K34" si="7">H15+H16+H23+H24+H25+H26+H30</f>
        <v>-143375</v>
      </c>
      <c r="I34" s="1308">
        <f t="shared" si="7"/>
        <v>651910</v>
      </c>
      <c r="J34" s="1308">
        <f t="shared" si="7"/>
        <v>59829</v>
      </c>
      <c r="K34" s="1323">
        <f t="shared" si="7"/>
        <v>711739</v>
      </c>
      <c r="L34" s="1312" t="s">
        <v>68</v>
      </c>
      <c r="M34" s="1308">
        <f>SUM(M27:M33)</f>
        <v>1856484</v>
      </c>
      <c r="N34" s="1308">
        <f>SUM(N27:N33)</f>
        <v>425126</v>
      </c>
      <c r="O34" s="1308">
        <f>SUM(O27:O33)</f>
        <v>2281610</v>
      </c>
      <c r="P34" s="1354">
        <f>SUM(P27:P33)</f>
        <v>13724</v>
      </c>
      <c r="Q34" s="1354">
        <f t="shared" ref="Q34:T34" si="8">SUM(Q27:Q33)</f>
        <v>-157293</v>
      </c>
      <c r="R34" s="1354">
        <f t="shared" si="8"/>
        <v>1870208</v>
      </c>
      <c r="S34" s="1354">
        <f t="shared" si="8"/>
        <v>267833</v>
      </c>
      <c r="T34" s="339">
        <f t="shared" si="8"/>
        <v>2138041</v>
      </c>
      <c r="U34" s="10"/>
      <c r="V34" s="10"/>
      <c r="W34" s="10"/>
      <c r="X34" s="10"/>
      <c r="Y34" s="10"/>
    </row>
    <row r="35" spans="1:25" x14ac:dyDescent="0.2">
      <c r="A35" s="1328"/>
      <c r="B35" s="570">
        <f t="shared" si="0"/>
        <v>27</v>
      </c>
      <c r="C35" s="1338" t="s">
        <v>51</v>
      </c>
      <c r="D35" s="1309">
        <f>SUM(D33:D34)</f>
        <v>2255147</v>
      </c>
      <c r="E35" s="1309">
        <f>SUM(E33:E34)</f>
        <v>1538342</v>
      </c>
      <c r="F35" s="1309">
        <f>SUM(D35:E35)</f>
        <v>3793489</v>
      </c>
      <c r="G35" s="1309">
        <f>G33+G34</f>
        <v>134053</v>
      </c>
      <c r="H35" s="1309">
        <f t="shared" ref="H35:K35" si="9">H33+H34</f>
        <v>-209018</v>
      </c>
      <c r="I35" s="1309">
        <f t="shared" si="9"/>
        <v>2389200</v>
      </c>
      <c r="J35" s="1309">
        <f t="shared" si="9"/>
        <v>1329324</v>
      </c>
      <c r="K35" s="1324">
        <f t="shared" si="9"/>
        <v>3718524</v>
      </c>
      <c r="L35" s="1309" t="s">
        <v>69</v>
      </c>
      <c r="M35" s="1309">
        <f>M24+M34</f>
        <v>3490255</v>
      </c>
      <c r="N35" s="1309">
        <f>N24+N34</f>
        <v>1796401</v>
      </c>
      <c r="O35" s="1309">
        <f>O24+O34</f>
        <v>5286656</v>
      </c>
      <c r="P35" s="126">
        <f>P24+P34</f>
        <v>119328</v>
      </c>
      <c r="Q35" s="126">
        <f t="shared" ref="Q35:T35" si="10">Q24+Q34</f>
        <v>-204288</v>
      </c>
      <c r="R35" s="126">
        <f t="shared" si="10"/>
        <v>3609583</v>
      </c>
      <c r="S35" s="126">
        <f t="shared" si="10"/>
        <v>1592113</v>
      </c>
      <c r="T35" s="340">
        <f t="shared" si="10"/>
        <v>5201696</v>
      </c>
      <c r="U35" s="10"/>
      <c r="V35" s="10"/>
      <c r="W35" s="10"/>
      <c r="X35" s="10"/>
      <c r="Y35" s="10"/>
    </row>
    <row r="36" spans="1:25" x14ac:dyDescent="0.2">
      <c r="A36" s="1328"/>
      <c r="B36" s="570">
        <f t="shared" si="0"/>
        <v>28</v>
      </c>
      <c r="C36" s="1336"/>
      <c r="D36" s="204"/>
      <c r="E36" s="204"/>
      <c r="F36" s="204"/>
      <c r="G36" s="204"/>
      <c r="H36" s="204"/>
      <c r="I36" s="204"/>
      <c r="J36" s="204"/>
      <c r="K36" s="353"/>
      <c r="L36" s="1304"/>
      <c r="M36" s="1304"/>
      <c r="N36" s="1304"/>
      <c r="O36" s="1304"/>
      <c r="P36" s="1303"/>
      <c r="Q36" s="1303"/>
      <c r="R36" s="1303"/>
      <c r="S36" s="1303"/>
      <c r="T36" s="1328"/>
      <c r="U36" s="10"/>
      <c r="V36" s="10"/>
      <c r="W36" s="10"/>
      <c r="X36" s="10"/>
      <c r="Y36" s="10"/>
    </row>
    <row r="37" spans="1:25" x14ac:dyDescent="0.2">
      <c r="A37" s="1328"/>
      <c r="B37" s="570">
        <f t="shared" si="0"/>
        <v>29</v>
      </c>
      <c r="C37" s="1339" t="s">
        <v>23</v>
      </c>
      <c r="D37" s="1309">
        <f>D35-M35</f>
        <v>-1235108</v>
      </c>
      <c r="E37" s="1309">
        <f>E35-N35</f>
        <v>-258059</v>
      </c>
      <c r="F37" s="1309">
        <f>F35-O35</f>
        <v>-1493167</v>
      </c>
      <c r="G37" s="1309"/>
      <c r="H37" s="1309"/>
      <c r="I37" s="1309"/>
      <c r="J37" s="1309"/>
      <c r="K37" s="1324"/>
      <c r="L37" s="1308"/>
      <c r="M37" s="1308"/>
      <c r="N37" s="1308"/>
      <c r="O37" s="1308"/>
      <c r="P37" s="1303"/>
      <c r="Q37" s="1303"/>
      <c r="R37" s="1303"/>
      <c r="S37" s="1303"/>
      <c r="T37" s="1328"/>
      <c r="U37" s="10"/>
      <c r="V37" s="10"/>
      <c r="W37" s="10"/>
      <c r="X37" s="10"/>
      <c r="Y37" s="10"/>
    </row>
    <row r="38" spans="1:25" s="11" customFormat="1" x14ac:dyDescent="0.2">
      <c r="A38" s="1330"/>
      <c r="B38" s="570">
        <f t="shared" si="0"/>
        <v>30</v>
      </c>
      <c r="C38" s="1336"/>
      <c r="D38" s="204"/>
      <c r="E38" s="204"/>
      <c r="F38" s="204"/>
      <c r="G38" s="204"/>
      <c r="H38" s="204"/>
      <c r="I38" s="204"/>
      <c r="J38" s="204"/>
      <c r="K38" s="353"/>
      <c r="L38" s="1304"/>
      <c r="M38" s="1304"/>
      <c r="N38" s="1304"/>
      <c r="O38" s="1304"/>
      <c r="P38" s="128"/>
      <c r="Q38" s="128"/>
      <c r="R38" s="128"/>
      <c r="S38" s="128"/>
      <c r="T38" s="1330"/>
    </row>
    <row r="39" spans="1:25" s="11" customFormat="1" x14ac:dyDescent="0.2">
      <c r="A39" s="1330"/>
      <c r="B39" s="570">
        <f t="shared" si="0"/>
        <v>31</v>
      </c>
      <c r="C39" s="1340" t="s">
        <v>204</v>
      </c>
      <c r="D39" s="1310"/>
      <c r="E39" s="1310"/>
      <c r="F39" s="1310"/>
      <c r="G39" s="1310"/>
      <c r="H39" s="1310"/>
      <c r="I39" s="1310"/>
      <c r="J39" s="1310"/>
      <c r="K39" s="376"/>
      <c r="L39" s="1310" t="s">
        <v>230</v>
      </c>
      <c r="M39" s="1309"/>
      <c r="N39" s="1309"/>
      <c r="O39" s="1309"/>
      <c r="P39" s="128"/>
      <c r="Q39" s="128"/>
      <c r="R39" s="128"/>
      <c r="S39" s="128"/>
      <c r="T39" s="1330"/>
    </row>
    <row r="40" spans="1:25" s="11" customFormat="1" x14ac:dyDescent="0.2">
      <c r="A40" s="1330"/>
      <c r="B40" s="570">
        <f t="shared" si="0"/>
        <v>32</v>
      </c>
      <c r="C40" s="1341" t="s">
        <v>205</v>
      </c>
      <c r="D40" s="1310"/>
      <c r="E40" s="1310"/>
      <c r="F40" s="1310"/>
      <c r="G40" s="1310"/>
      <c r="H40" s="1310"/>
      <c r="I40" s="1310"/>
      <c r="J40" s="1310"/>
      <c r="K40" s="376"/>
      <c r="L40" s="1313" t="s">
        <v>231</v>
      </c>
      <c r="M40" s="1309"/>
      <c r="N40" s="598"/>
      <c r="O40" s="598"/>
      <c r="P40" s="128"/>
      <c r="Q40" s="128"/>
      <c r="R40" s="128"/>
      <c r="S40" s="128"/>
      <c r="T40" s="1330"/>
    </row>
    <row r="41" spans="1:25" s="11" customFormat="1" ht="21.75" x14ac:dyDescent="0.2">
      <c r="A41" s="1330"/>
      <c r="B41" s="1314">
        <f t="shared" si="0"/>
        <v>33</v>
      </c>
      <c r="C41" s="1342" t="s">
        <v>1199</v>
      </c>
      <c r="D41" s="1315">
        <f>'pü.mérleg Önkorm.'!D41</f>
        <v>634227</v>
      </c>
      <c r="E41" s="1315">
        <f>'pü.mérleg Önkorm.'!E41</f>
        <v>0</v>
      </c>
      <c r="F41" s="1315">
        <f>'pü.mérleg Önkorm.'!F41</f>
        <v>634227</v>
      </c>
      <c r="G41" s="1315">
        <f>'pü.mérleg Önkorm.'!G41</f>
        <v>-45368</v>
      </c>
      <c r="H41" s="1315">
        <f>'pü.mérleg Önkorm.'!H41</f>
        <v>0</v>
      </c>
      <c r="I41" s="1315">
        <f>'pü.mérleg Önkorm.'!I41</f>
        <v>588859</v>
      </c>
      <c r="J41" s="1315">
        <f>'pü.mérleg Önkorm.'!J41</f>
        <v>0</v>
      </c>
      <c r="K41" s="1325">
        <f>'pü.mérleg Önkorm.'!K41</f>
        <v>588859</v>
      </c>
      <c r="L41" s="210" t="s">
        <v>956</v>
      </c>
      <c r="M41" s="1309"/>
      <c r="N41" s="1309"/>
      <c r="O41" s="1309"/>
      <c r="P41" s="128"/>
      <c r="Q41" s="128"/>
      <c r="R41" s="128"/>
      <c r="S41" s="128"/>
      <c r="T41" s="1330"/>
    </row>
    <row r="42" spans="1:25" x14ac:dyDescent="0.2">
      <c r="A42" s="1328"/>
      <c r="B42" s="570">
        <f t="shared" si="0"/>
        <v>34</v>
      </c>
      <c r="C42" s="106" t="s">
        <v>206</v>
      </c>
      <c r="D42" s="1316"/>
      <c r="E42" s="1313">
        <f>'pü.mérleg Önkorm.'!E42</f>
        <v>0</v>
      </c>
      <c r="F42" s="1313">
        <f>SUM(D42:E42)</f>
        <v>0</v>
      </c>
      <c r="G42" s="1313"/>
      <c r="H42" s="1313"/>
      <c r="I42" s="1313"/>
      <c r="J42" s="1313"/>
      <c r="K42" s="1326"/>
      <c r="L42" s="204" t="s">
        <v>232</v>
      </c>
      <c r="M42" s="1309"/>
      <c r="N42" s="1309"/>
      <c r="O42" s="1309"/>
      <c r="P42" s="1303"/>
      <c r="Q42" s="1303"/>
      <c r="R42" s="1303"/>
      <c r="S42" s="1303"/>
      <c r="T42" s="1328"/>
      <c r="U42" s="10"/>
      <c r="V42" s="10"/>
      <c r="W42" s="10"/>
      <c r="X42" s="10"/>
      <c r="Y42" s="10"/>
    </row>
    <row r="43" spans="1:25" x14ac:dyDescent="0.2">
      <c r="A43" s="1328"/>
      <c r="B43" s="570">
        <f t="shared" si="0"/>
        <v>35</v>
      </c>
      <c r="C43" s="106" t="s">
        <v>207</v>
      </c>
      <c r="D43" s="204"/>
      <c r="E43" s="204"/>
      <c r="F43" s="204"/>
      <c r="G43" s="204"/>
      <c r="H43" s="204"/>
      <c r="I43" s="204"/>
      <c r="J43" s="204"/>
      <c r="K43" s="353"/>
      <c r="L43" s="204" t="s">
        <v>233</v>
      </c>
      <c r="M43" s="1309"/>
      <c r="N43" s="1309"/>
      <c r="O43" s="1309"/>
      <c r="P43" s="1303"/>
      <c r="Q43" s="1303"/>
      <c r="R43" s="1303"/>
      <c r="S43" s="1303"/>
      <c r="T43" s="1328"/>
      <c r="U43" s="10"/>
      <c r="V43" s="10"/>
      <c r="W43" s="10"/>
      <c r="X43" s="10"/>
      <c r="Y43" s="10"/>
    </row>
    <row r="44" spans="1:25" ht="22.5" x14ac:dyDescent="0.2">
      <c r="A44" s="1328"/>
      <c r="B44" s="570">
        <f t="shared" si="0"/>
        <v>36</v>
      </c>
      <c r="C44" s="1700" t="s">
        <v>932</v>
      </c>
      <c r="D44" s="1304">
        <f>'pü.mérleg Önkorm.'!D44+'pü.mérleg Hivatal'!D43+'püm. GAMESZ. '!D43+püm.Brunszvik!D43+'püm-TASZII.'!D43+'püm Festetics'!D43</f>
        <v>630751</v>
      </c>
      <c r="E44" s="1304">
        <f>'pü.mérleg Önkorm.'!E44+'pü.mérleg Hivatal'!E43+'püm. GAMESZ. '!E43+püm.Brunszvik!E43+'püm-TASZII.'!E43+'püm Festetics'!E43</f>
        <v>262319</v>
      </c>
      <c r="F44" s="1304">
        <f>'pü.mérleg Önkorm.'!F44+'pü.mérleg Hivatal'!F43+'püm. GAMESZ. '!F43+püm.Brunszvik!F43+'püm-TASZII.'!F43+'püm Festetics'!F43</f>
        <v>893070</v>
      </c>
      <c r="G44" s="1304"/>
      <c r="H44" s="1304"/>
      <c r="I44" s="1304">
        <f>D44+G44</f>
        <v>630751</v>
      </c>
      <c r="J44" s="1304">
        <f>E44+H44</f>
        <v>262319</v>
      </c>
      <c r="K44" s="1320">
        <f>I44+J44</f>
        <v>893070</v>
      </c>
      <c r="L44" s="204" t="s">
        <v>234</v>
      </c>
      <c r="M44" s="1309"/>
      <c r="N44" s="1309"/>
      <c r="O44" s="1309"/>
      <c r="P44" s="1303"/>
      <c r="Q44" s="1303"/>
      <c r="R44" s="1303"/>
      <c r="S44" s="1303"/>
      <c r="T44" s="1328"/>
      <c r="U44" s="10"/>
      <c r="V44" s="10"/>
      <c r="W44" s="10"/>
      <c r="X44" s="10"/>
      <c r="Y44" s="10"/>
    </row>
    <row r="45" spans="1:25" x14ac:dyDescent="0.2">
      <c r="A45" s="1328"/>
      <c r="B45" s="570">
        <f t="shared" si="0"/>
        <v>37</v>
      </c>
      <c r="C45" s="1343" t="s">
        <v>958</v>
      </c>
      <c r="D45" s="204">
        <f>'püm Festetics'!D44</f>
        <v>0</v>
      </c>
      <c r="E45" s="204">
        <f>'püm Festetics'!E44</f>
        <v>0</v>
      </c>
      <c r="F45" s="204">
        <f>'püm Festetics'!F44</f>
        <v>0</v>
      </c>
      <c r="G45" s="204"/>
      <c r="H45" s="204"/>
      <c r="I45" s="204"/>
      <c r="J45" s="204"/>
      <c r="K45" s="353"/>
      <c r="L45" s="204"/>
      <c r="M45" s="1309"/>
      <c r="N45" s="1309"/>
      <c r="O45" s="1309"/>
      <c r="P45" s="1303"/>
      <c r="Q45" s="1303"/>
      <c r="R45" s="1303"/>
      <c r="S45" s="1303"/>
      <c r="T45" s="1328"/>
      <c r="U45" s="10"/>
      <c r="V45" s="10"/>
      <c r="W45" s="10"/>
      <c r="X45" s="10"/>
      <c r="Y45" s="10"/>
    </row>
    <row r="46" spans="1:25" x14ac:dyDescent="0.2">
      <c r="A46" s="1328"/>
      <c r="B46" s="570">
        <f t="shared" si="0"/>
        <v>38</v>
      </c>
      <c r="C46" s="106" t="s">
        <v>209</v>
      </c>
      <c r="D46" s="204">
        <f>'pü.mérleg Önkorm.'!D46</f>
        <v>1969</v>
      </c>
      <c r="E46" s="204">
        <f>'pü.mérleg Önkorm.'!E46</f>
        <v>0</v>
      </c>
      <c r="F46" s="204">
        <f>'pü.mérleg Önkorm.'!F46</f>
        <v>1969</v>
      </c>
      <c r="G46" s="204">
        <f>'pü.mérleg Önkorm.'!G46</f>
        <v>31243</v>
      </c>
      <c r="H46" s="204">
        <f>'pü.mérleg Önkorm.'!H46</f>
        <v>4730</v>
      </c>
      <c r="I46" s="204">
        <f>'pü.mérleg Önkorm.'!I46</f>
        <v>33212</v>
      </c>
      <c r="J46" s="204">
        <f>'pü.mérleg Önkorm.'!J46</f>
        <v>4730</v>
      </c>
      <c r="K46" s="353">
        <f>'pü.mérleg Önkorm.'!K46</f>
        <v>37942</v>
      </c>
      <c r="L46" s="204" t="s">
        <v>235</v>
      </c>
      <c r="M46" s="1309"/>
      <c r="N46" s="1309"/>
      <c r="O46" s="1304"/>
      <c r="P46" s="1303"/>
      <c r="Q46" s="1303"/>
      <c r="R46" s="1303"/>
      <c r="S46" s="1303"/>
      <c r="T46" s="1328"/>
      <c r="U46" s="10"/>
      <c r="V46" s="10"/>
      <c r="W46" s="10"/>
      <c r="X46" s="10"/>
      <c r="Y46" s="10"/>
    </row>
    <row r="47" spans="1:25" x14ac:dyDescent="0.2">
      <c r="A47" s="1328"/>
      <c r="B47" s="570">
        <f t="shared" si="0"/>
        <v>39</v>
      </c>
      <c r="C47" s="106" t="s">
        <v>210</v>
      </c>
      <c r="D47" s="1310"/>
      <c r="E47" s="1310"/>
      <c r="F47" s="1310"/>
      <c r="G47" s="1310"/>
      <c r="H47" s="1310"/>
      <c r="I47" s="1310"/>
      <c r="J47" s="1310"/>
      <c r="K47" s="376"/>
      <c r="L47" s="1306" t="s">
        <v>236</v>
      </c>
      <c r="M47" s="1304">
        <f>'pü.mérleg Önkorm.'!M47</f>
        <v>31839</v>
      </c>
      <c r="N47" s="1304">
        <f>'pü.mérleg Önkorm.'!N47</f>
        <v>4260</v>
      </c>
      <c r="O47" s="1304">
        <f>'pü.mérleg Önkorm.'!O47</f>
        <v>36099</v>
      </c>
      <c r="P47" s="124">
        <f>'pü.mérleg Önkorm.'!Q47</f>
        <v>600</v>
      </c>
      <c r="Q47" s="124">
        <f>'pü.mérleg Önkorm.'!R47</f>
        <v>0</v>
      </c>
      <c r="R47" s="124">
        <f>'pü.mérleg Önkorm.'!S47</f>
        <v>32439</v>
      </c>
      <c r="S47" s="124">
        <f>'pü.mérleg Önkorm.'!T47</f>
        <v>4260</v>
      </c>
      <c r="T47" s="124">
        <f>'pü.mérleg Önkorm.'!U47</f>
        <v>36699</v>
      </c>
      <c r="U47" s="10"/>
      <c r="V47" s="10"/>
      <c r="W47" s="10"/>
      <c r="X47" s="10"/>
      <c r="Y47" s="10"/>
    </row>
    <row r="48" spans="1:25" x14ac:dyDescent="0.2">
      <c r="A48" s="1328"/>
      <c r="B48" s="570">
        <f t="shared" si="0"/>
        <v>40</v>
      </c>
      <c r="C48" s="106" t="s">
        <v>211</v>
      </c>
      <c r="D48" s="204"/>
      <c r="E48" s="204"/>
      <c r="F48" s="204"/>
      <c r="G48" s="204"/>
      <c r="H48" s="204"/>
      <c r="I48" s="204"/>
      <c r="J48" s="204"/>
      <c r="K48" s="353"/>
      <c r="L48" s="204" t="s">
        <v>237</v>
      </c>
      <c r="M48" s="1304"/>
      <c r="N48" s="1304"/>
      <c r="O48" s="1304"/>
      <c r="P48" s="1303"/>
      <c r="Q48" s="1303"/>
      <c r="R48" s="1303"/>
      <c r="S48" s="1303"/>
      <c r="T48" s="1328"/>
      <c r="U48" s="10"/>
      <c r="V48" s="10"/>
      <c r="W48" s="10"/>
      <c r="X48" s="10"/>
      <c r="Y48" s="10"/>
    </row>
    <row r="49" spans="1:25" x14ac:dyDescent="0.2">
      <c r="A49" s="1328"/>
      <c r="B49" s="570">
        <f t="shared" si="0"/>
        <v>41</v>
      </c>
      <c r="C49" s="1344" t="s">
        <v>212</v>
      </c>
      <c r="D49" s="204"/>
      <c r="E49" s="204"/>
      <c r="F49" s="204"/>
      <c r="G49" s="204"/>
      <c r="H49" s="204"/>
      <c r="I49" s="204"/>
      <c r="J49" s="204"/>
      <c r="K49" s="353"/>
      <c r="L49" s="204" t="s">
        <v>238</v>
      </c>
      <c r="M49" s="1304"/>
      <c r="N49" s="1304"/>
      <c r="O49" s="1304"/>
      <c r="P49" s="1303"/>
      <c r="Q49" s="1303"/>
      <c r="R49" s="1303"/>
      <c r="S49" s="1303"/>
      <c r="T49" s="1328"/>
      <c r="U49" s="10"/>
      <c r="V49" s="10"/>
      <c r="W49" s="10"/>
      <c r="X49" s="10"/>
      <c r="Y49" s="10"/>
    </row>
    <row r="50" spans="1:25" x14ac:dyDescent="0.2">
      <c r="A50" s="1328"/>
      <c r="B50" s="570">
        <f t="shared" si="0"/>
        <v>42</v>
      </c>
      <c r="C50" s="1344" t="s">
        <v>213</v>
      </c>
      <c r="D50" s="204"/>
      <c r="E50" s="204"/>
      <c r="F50" s="204"/>
      <c r="G50" s="204"/>
      <c r="H50" s="204"/>
      <c r="I50" s="204"/>
      <c r="J50" s="204"/>
      <c r="K50" s="353"/>
      <c r="L50" s="204" t="s">
        <v>239</v>
      </c>
      <c r="M50" s="1304"/>
      <c r="N50" s="1304"/>
      <c r="O50" s="1304"/>
      <c r="P50" s="1303"/>
      <c r="Q50" s="1303"/>
      <c r="R50" s="1303"/>
      <c r="S50" s="1303"/>
      <c r="T50" s="1328"/>
      <c r="U50" s="10"/>
      <c r="V50" s="10"/>
      <c r="W50" s="10"/>
      <c r="X50" s="10"/>
      <c r="Y50" s="10"/>
    </row>
    <row r="51" spans="1:25" x14ac:dyDescent="0.2">
      <c r="A51" s="1328"/>
      <c r="B51" s="570">
        <f t="shared" si="0"/>
        <v>43</v>
      </c>
      <c r="C51" s="106" t="s">
        <v>214</v>
      </c>
      <c r="D51" s="204">
        <f>'pü.mérleg Önkorm.'!D51</f>
        <v>0</v>
      </c>
      <c r="E51" s="204">
        <f>'pü.mérleg Önkorm.'!E51</f>
        <v>0</v>
      </c>
      <c r="F51" s="204">
        <f>SUM(D51:E51)</f>
        <v>0</v>
      </c>
      <c r="G51" s="204"/>
      <c r="H51" s="204"/>
      <c r="I51" s="204"/>
      <c r="J51" s="204"/>
      <c r="K51" s="353"/>
      <c r="L51" s="204" t="s">
        <v>240</v>
      </c>
      <c r="M51" s="1304"/>
      <c r="N51" s="1304"/>
      <c r="O51" s="1304"/>
      <c r="P51" s="1303"/>
      <c r="Q51" s="1303"/>
      <c r="R51" s="1303"/>
      <c r="S51" s="1303"/>
      <c r="T51" s="1328"/>
      <c r="U51" s="10"/>
      <c r="V51" s="10"/>
      <c r="W51" s="10"/>
      <c r="X51" s="10"/>
      <c r="Y51" s="10"/>
    </row>
    <row r="52" spans="1:25" x14ac:dyDescent="0.2">
      <c r="A52" s="1328"/>
      <c r="B52" s="570">
        <f t="shared" si="0"/>
        <v>44</v>
      </c>
      <c r="C52" s="106"/>
      <c r="D52" s="204"/>
      <c r="E52" s="204"/>
      <c r="F52" s="204"/>
      <c r="G52" s="204"/>
      <c r="H52" s="204"/>
      <c r="I52" s="204"/>
      <c r="J52" s="204"/>
      <c r="K52" s="353"/>
      <c r="L52" s="204" t="s">
        <v>241</v>
      </c>
      <c r="M52" s="1304"/>
      <c r="N52" s="1304"/>
      <c r="O52" s="1304"/>
      <c r="P52" s="1303"/>
      <c r="Q52" s="1303"/>
      <c r="R52" s="1303"/>
      <c r="S52" s="1303"/>
      <c r="T52" s="1328"/>
      <c r="U52" s="10"/>
      <c r="V52" s="10"/>
      <c r="W52" s="10"/>
      <c r="X52" s="10"/>
      <c r="Y52" s="10"/>
    </row>
    <row r="53" spans="1:25" x14ac:dyDescent="0.2">
      <c r="A53" s="1328"/>
      <c r="B53" s="570">
        <f t="shared" si="0"/>
        <v>45</v>
      </c>
      <c r="C53" s="106"/>
      <c r="D53" s="204"/>
      <c r="E53" s="204"/>
      <c r="F53" s="204"/>
      <c r="G53" s="204"/>
      <c r="H53" s="204"/>
      <c r="I53" s="204"/>
      <c r="J53" s="204"/>
      <c r="K53" s="353"/>
      <c r="L53" s="204" t="s">
        <v>242</v>
      </c>
      <c r="M53" s="1304"/>
      <c r="N53" s="1304"/>
      <c r="O53" s="1304"/>
      <c r="P53" s="1303"/>
      <c r="Q53" s="1303"/>
      <c r="R53" s="1303"/>
      <c r="S53" s="1303"/>
      <c r="T53" s="1328"/>
      <c r="U53" s="10"/>
      <c r="V53" s="10"/>
      <c r="W53" s="10"/>
      <c r="X53" s="10"/>
      <c r="Y53" s="10"/>
    </row>
    <row r="54" spans="1:25" ht="12" thickBot="1" x14ac:dyDescent="0.25">
      <c r="A54" s="1328"/>
      <c r="B54" s="570">
        <f t="shared" si="0"/>
        <v>46</v>
      </c>
      <c r="C54" s="1345" t="s">
        <v>448</v>
      </c>
      <c r="D54" s="1309">
        <f>SUM(D40:D52)</f>
        <v>1266947</v>
      </c>
      <c r="E54" s="1309">
        <f>SUM(E40:E52)</f>
        <v>262319</v>
      </c>
      <c r="F54" s="1309">
        <f>SUM(F40:F52)</f>
        <v>1529266</v>
      </c>
      <c r="G54" s="1309">
        <f t="shared" ref="G54:K54" si="11">SUM(G40:G52)</f>
        <v>-14125</v>
      </c>
      <c r="H54" s="1309">
        <f t="shared" si="11"/>
        <v>4730</v>
      </c>
      <c r="I54" s="1309">
        <f t="shared" si="11"/>
        <v>1252822</v>
      </c>
      <c r="J54" s="1309">
        <f t="shared" si="11"/>
        <v>267049</v>
      </c>
      <c r="K54" s="1324">
        <f t="shared" si="11"/>
        <v>1519871</v>
      </c>
      <c r="L54" s="1310" t="s">
        <v>441</v>
      </c>
      <c r="M54" s="1309">
        <f>SUM(M40:M53)</f>
        <v>31839</v>
      </c>
      <c r="N54" s="1309">
        <f>SUM(N40:N53)</f>
        <v>4260</v>
      </c>
      <c r="O54" s="1309">
        <f>SUM(O40:O53)</f>
        <v>36099</v>
      </c>
      <c r="P54" s="126">
        <f>SUM(P47:P53)</f>
        <v>600</v>
      </c>
      <c r="Q54" s="126">
        <f t="shared" ref="Q54:T54" si="12">SUM(Q47:Q53)</f>
        <v>0</v>
      </c>
      <c r="R54" s="126">
        <f t="shared" si="12"/>
        <v>32439</v>
      </c>
      <c r="S54" s="126">
        <f t="shared" si="12"/>
        <v>4260</v>
      </c>
      <c r="T54" s="1394">
        <f t="shared" si="12"/>
        <v>36699</v>
      </c>
      <c r="U54" s="10"/>
      <c r="V54" s="10"/>
      <c r="W54" s="10"/>
      <c r="X54" s="10"/>
      <c r="Y54" s="10"/>
    </row>
    <row r="55" spans="1:25" ht="12" thickBot="1" x14ac:dyDescent="0.25">
      <c r="B55" s="697">
        <f t="shared" si="0"/>
        <v>47</v>
      </c>
      <c r="C55" s="696" t="s">
        <v>443</v>
      </c>
      <c r="D55" s="695">
        <f>D35+D54</f>
        <v>3522094</v>
      </c>
      <c r="E55" s="695">
        <f>E35+E54</f>
        <v>1800661</v>
      </c>
      <c r="F55" s="814">
        <f>F35+F54</f>
        <v>5322755</v>
      </c>
      <c r="G55" s="814">
        <f>G54+G35</f>
        <v>119928</v>
      </c>
      <c r="H55" s="814">
        <f t="shared" ref="H55:K55" si="13">H54+H35</f>
        <v>-204288</v>
      </c>
      <c r="I55" s="814">
        <f t="shared" si="13"/>
        <v>3642022</v>
      </c>
      <c r="J55" s="814">
        <f t="shared" si="13"/>
        <v>1596373</v>
      </c>
      <c r="K55" s="814">
        <f t="shared" si="13"/>
        <v>5238395</v>
      </c>
      <c r="L55" s="1384" t="s">
        <v>442</v>
      </c>
      <c r="M55" s="695">
        <f>M35+M54</f>
        <v>3522094</v>
      </c>
      <c r="N55" s="695">
        <f>N35+N54</f>
        <v>1800661</v>
      </c>
      <c r="O55" s="814">
        <f>O35+O54</f>
        <v>5322755</v>
      </c>
      <c r="P55" s="689">
        <f>P35+P54</f>
        <v>119928</v>
      </c>
      <c r="Q55" s="689">
        <f t="shared" ref="Q55:T55" si="14">Q35+Q54</f>
        <v>-204288</v>
      </c>
      <c r="R55" s="689">
        <f t="shared" si="14"/>
        <v>3642022</v>
      </c>
      <c r="S55" s="689">
        <f t="shared" si="14"/>
        <v>1596373</v>
      </c>
      <c r="T55" s="689">
        <f t="shared" si="14"/>
        <v>5238395</v>
      </c>
      <c r="U55" s="10"/>
      <c r="V55" s="10"/>
      <c r="W55" s="10"/>
      <c r="X55" s="10"/>
      <c r="Y55" s="10"/>
    </row>
    <row r="56" spans="1:25" x14ac:dyDescent="0.2">
      <c r="C56" s="130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W56" s="10"/>
      <c r="X56" s="10"/>
      <c r="Y56" s="10"/>
    </row>
    <row r="57" spans="1:25" s="11" customFormat="1" ht="12.75" x14ac:dyDescent="0.2">
      <c r="B57" s="130"/>
      <c r="C57" s="128"/>
      <c r="D57" s="129"/>
      <c r="E57" s="129"/>
      <c r="F57" s="338">
        <f>F55-O55</f>
        <v>0</v>
      </c>
      <c r="G57" s="338"/>
      <c r="H57" s="338"/>
      <c r="I57" s="338"/>
      <c r="J57" s="338"/>
      <c r="K57" s="338"/>
      <c r="L57" s="126"/>
      <c r="M57" s="129"/>
      <c r="N57" s="129"/>
      <c r="O57" s="129"/>
      <c r="P57" s="130"/>
      <c r="Q57" s="130"/>
      <c r="R57" s="130"/>
      <c r="S57" s="130"/>
      <c r="T57" s="130"/>
      <c r="U57" s="130"/>
      <c r="V57" s="130"/>
      <c r="W57" s="130"/>
      <c r="X57" s="130"/>
      <c r="Y57" s="130"/>
    </row>
  </sheetData>
  <sheetProtection selectLockedCells="1" selectUnlockedCells="1"/>
  <mergeCells count="15">
    <mergeCell ref="B1:T1"/>
    <mergeCell ref="B6:B8"/>
    <mergeCell ref="C6:C7"/>
    <mergeCell ref="L6:L7"/>
    <mergeCell ref="G7:H7"/>
    <mergeCell ref="I7:K7"/>
    <mergeCell ref="D6:K6"/>
    <mergeCell ref="M6:T6"/>
    <mergeCell ref="C5:T5"/>
    <mergeCell ref="C3:T3"/>
    <mergeCell ref="C4:T4"/>
    <mergeCell ref="P7:Q7"/>
    <mergeCell ref="R7:T7"/>
    <mergeCell ref="D7:F7"/>
    <mergeCell ref="M7:O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92"/>
  <sheetViews>
    <sheetView topLeftCell="B1" workbookViewId="0">
      <selection activeCell="H7" sqref="H7:L8"/>
    </sheetView>
  </sheetViews>
  <sheetFormatPr defaultColWidth="9.140625" defaultRowHeight="12" x14ac:dyDescent="0.2"/>
  <cols>
    <col min="1" max="1" width="3.7109375" style="113" hidden="1" customWidth="1"/>
    <col min="2" max="2" width="3.7109375" style="113" customWidth="1"/>
    <col min="3" max="3" width="5.7109375" style="115" customWidth="1"/>
    <col min="4" max="4" width="53" style="112" customWidth="1"/>
    <col min="5" max="5" width="9" style="111" customWidth="1"/>
    <col min="6" max="6" width="9.140625" style="111"/>
    <col min="7" max="7" width="9.7109375" style="111" customWidth="1"/>
    <col min="8" max="16384" width="9.140625" style="13"/>
  </cols>
  <sheetData>
    <row r="1" spans="1:17" x14ac:dyDescent="0.2">
      <c r="C1" s="1481" t="s">
        <v>1378</v>
      </c>
      <c r="D1" s="1481"/>
      <c r="E1" s="1481"/>
      <c r="F1" s="1481"/>
      <c r="G1" s="1481"/>
    </row>
    <row r="2" spans="1:17" x14ac:dyDescent="0.2">
      <c r="C2" s="211"/>
      <c r="D2" s="211"/>
      <c r="E2" s="211"/>
      <c r="F2" s="211"/>
      <c r="G2" s="211"/>
    </row>
    <row r="3" spans="1:17" ht="13.5" customHeight="1" x14ac:dyDescent="0.2">
      <c r="C3" s="1489" t="s">
        <v>1113</v>
      </c>
      <c r="D3" s="1489"/>
      <c r="E3" s="1489"/>
      <c r="F3" s="1489"/>
      <c r="G3" s="1489"/>
    </row>
    <row r="4" spans="1:17" x14ac:dyDescent="0.2">
      <c r="C4" s="1490" t="s">
        <v>1146</v>
      </c>
      <c r="D4" s="1490"/>
      <c r="E4" s="1490"/>
      <c r="F4" s="1491"/>
      <c r="G4" s="1491"/>
    </row>
    <row r="5" spans="1:17" x14ac:dyDescent="0.2">
      <c r="C5" s="110"/>
      <c r="D5" s="110"/>
      <c r="E5" s="110"/>
      <c r="F5" s="212"/>
      <c r="G5" s="212"/>
    </row>
    <row r="6" spans="1:17" ht="13.5" thickBot="1" x14ac:dyDescent="0.25">
      <c r="C6" s="110"/>
      <c r="D6" s="1482" t="s">
        <v>302</v>
      </c>
      <c r="E6" s="1483"/>
      <c r="F6" s="1483"/>
      <c r="G6" s="1483"/>
    </row>
    <row r="7" spans="1:17" ht="19.149999999999999" customHeight="1" x14ac:dyDescent="0.2">
      <c r="C7" s="1484" t="s">
        <v>76</v>
      </c>
      <c r="D7" s="1486" t="s">
        <v>85</v>
      </c>
      <c r="E7" s="1488" t="s">
        <v>1137</v>
      </c>
      <c r="F7" s="1488"/>
      <c r="G7" s="1488"/>
      <c r="H7" s="1449" t="s">
        <v>1400</v>
      </c>
      <c r="I7" s="1450"/>
      <c r="J7" s="1450" t="s">
        <v>1399</v>
      </c>
      <c r="K7" s="1450"/>
      <c r="L7" s="1451"/>
    </row>
    <row r="8" spans="1:17" s="8" customFormat="1" ht="42.75" customHeight="1" x14ac:dyDescent="0.2">
      <c r="A8" s="114"/>
      <c r="B8" s="114"/>
      <c r="C8" s="1485"/>
      <c r="D8" s="1487"/>
      <c r="E8" s="941" t="s">
        <v>62</v>
      </c>
      <c r="F8" s="941" t="s">
        <v>63</v>
      </c>
      <c r="G8" s="941" t="s">
        <v>64</v>
      </c>
      <c r="H8" s="942" t="s">
        <v>62</v>
      </c>
      <c r="I8" s="782" t="s">
        <v>63</v>
      </c>
      <c r="J8" s="782" t="s">
        <v>62</v>
      </c>
      <c r="K8" s="782" t="s">
        <v>63</v>
      </c>
      <c r="L8" s="943" t="s">
        <v>64</v>
      </c>
    </row>
    <row r="9" spans="1:17" ht="14.25" customHeight="1" x14ac:dyDescent="0.2">
      <c r="C9" s="944" t="s">
        <v>479</v>
      </c>
      <c r="D9" s="945" t="s">
        <v>86</v>
      </c>
      <c r="E9" s="946"/>
      <c r="F9" s="947"/>
      <c r="G9" s="947"/>
      <c r="H9" s="948"/>
      <c r="I9" s="948"/>
      <c r="J9" s="948"/>
      <c r="K9" s="948"/>
      <c r="L9" s="948"/>
    </row>
    <row r="10" spans="1:17" ht="28.9" customHeight="1" x14ac:dyDescent="0.2">
      <c r="B10" s="754"/>
      <c r="C10" s="949" t="s">
        <v>487</v>
      </c>
      <c r="D10" s="950" t="s">
        <v>454</v>
      </c>
      <c r="E10" s="951"/>
      <c r="F10" s="951"/>
      <c r="G10" s="951"/>
      <c r="H10" s="948"/>
      <c r="I10" s="948"/>
      <c r="J10" s="948"/>
      <c r="K10" s="948"/>
      <c r="L10" s="948"/>
    </row>
    <row r="11" spans="1:17" x14ac:dyDescent="0.2">
      <c r="B11" s="754"/>
      <c r="C11" s="944" t="s">
        <v>488</v>
      </c>
      <c r="D11" s="952" t="s">
        <v>435</v>
      </c>
      <c r="E11" s="947"/>
      <c r="F11" s="947"/>
      <c r="G11" s="947"/>
      <c r="H11" s="948"/>
      <c r="I11" s="948"/>
      <c r="J11" s="948"/>
      <c r="K11" s="948"/>
      <c r="L11" s="948"/>
    </row>
    <row r="12" spans="1:17" x14ac:dyDescent="0.2">
      <c r="B12" s="754"/>
      <c r="C12" s="944" t="s">
        <v>489</v>
      </c>
      <c r="D12" s="952" t="s">
        <v>1203</v>
      </c>
      <c r="E12" s="947"/>
      <c r="F12" s="947">
        <v>20000</v>
      </c>
      <c r="G12" s="947">
        <f t="shared" ref="G12:G22" si="0">SUM(E12:F12)</f>
        <v>20000</v>
      </c>
      <c r="H12" s="948"/>
      <c r="I12" s="948"/>
      <c r="J12" s="948"/>
      <c r="K12" s="948"/>
      <c r="L12" s="948"/>
      <c r="N12" s="694"/>
    </row>
    <row r="13" spans="1:17" x14ac:dyDescent="0.2">
      <c r="B13" s="754"/>
      <c r="C13" s="944" t="s">
        <v>490</v>
      </c>
      <c r="D13" s="952" t="s">
        <v>1204</v>
      </c>
      <c r="E13" s="947"/>
      <c r="F13" s="947">
        <v>25000</v>
      </c>
      <c r="G13" s="947">
        <f t="shared" si="0"/>
        <v>25000</v>
      </c>
      <c r="H13" s="948"/>
      <c r="I13" s="948"/>
      <c r="J13" s="948"/>
      <c r="K13" s="948"/>
      <c r="L13" s="948"/>
    </row>
    <row r="14" spans="1:17" x14ac:dyDescent="0.2">
      <c r="B14" s="754"/>
      <c r="C14" s="944" t="s">
        <v>491</v>
      </c>
      <c r="D14" s="952" t="s">
        <v>1202</v>
      </c>
      <c r="E14" s="947"/>
      <c r="F14" s="947">
        <v>7020</v>
      </c>
      <c r="G14" s="947">
        <f t="shared" si="0"/>
        <v>7020</v>
      </c>
      <c r="H14" s="948"/>
      <c r="I14" s="948"/>
      <c r="J14" s="948"/>
      <c r="K14" s="948"/>
      <c r="L14" s="948"/>
    </row>
    <row r="15" spans="1:17" x14ac:dyDescent="0.2">
      <c r="B15" s="754"/>
      <c r="C15" s="944" t="s">
        <v>492</v>
      </c>
      <c r="D15" s="952" t="s">
        <v>436</v>
      </c>
      <c r="E15" s="947">
        <v>4500</v>
      </c>
      <c r="F15" s="947"/>
      <c r="G15" s="947">
        <f t="shared" si="0"/>
        <v>4500</v>
      </c>
      <c r="H15" s="948"/>
      <c r="I15" s="948"/>
      <c r="J15" s="948"/>
      <c r="K15" s="948"/>
      <c r="L15" s="948"/>
      <c r="Q15" s="694"/>
    </row>
    <row r="16" spans="1:17" x14ac:dyDescent="0.2">
      <c r="B16" s="754"/>
      <c r="C16" s="944" t="s">
        <v>493</v>
      </c>
      <c r="D16" s="953" t="s">
        <v>437</v>
      </c>
      <c r="E16" s="947"/>
      <c r="F16" s="947">
        <v>1375</v>
      </c>
      <c r="G16" s="947">
        <f t="shared" si="0"/>
        <v>1375</v>
      </c>
      <c r="H16" s="948"/>
      <c r="I16" s="948"/>
      <c r="J16" s="948"/>
      <c r="K16" s="948"/>
      <c r="L16" s="948"/>
    </row>
    <row r="17" spans="1:12" ht="13.5" customHeight="1" x14ac:dyDescent="0.2">
      <c r="B17" s="754"/>
      <c r="C17" s="944" t="s">
        <v>494</v>
      </c>
      <c r="D17" s="953" t="s">
        <v>467</v>
      </c>
      <c r="E17" s="947">
        <v>1350</v>
      </c>
      <c r="F17" s="947"/>
      <c r="G17" s="947">
        <f t="shared" si="0"/>
        <v>1350</v>
      </c>
      <c r="H17" s="948"/>
      <c r="I17" s="948"/>
      <c r="J17" s="948"/>
      <c r="K17" s="948"/>
      <c r="L17" s="948"/>
    </row>
    <row r="18" spans="1:12" ht="13.5" customHeight="1" x14ac:dyDescent="0.2">
      <c r="B18" s="754"/>
      <c r="C18" s="944" t="s">
        <v>530</v>
      </c>
      <c r="D18" s="954" t="s">
        <v>307</v>
      </c>
      <c r="E18" s="955"/>
      <c r="F18" s="955">
        <v>50</v>
      </c>
      <c r="G18" s="955">
        <f t="shared" si="0"/>
        <v>50</v>
      </c>
      <c r="H18" s="948"/>
      <c r="I18" s="948"/>
      <c r="J18" s="948"/>
      <c r="K18" s="948"/>
      <c r="L18" s="948"/>
    </row>
    <row r="19" spans="1:12" ht="13.5" customHeight="1" x14ac:dyDescent="0.2">
      <c r="B19" s="754"/>
      <c r="C19" s="944" t="s">
        <v>531</v>
      </c>
      <c r="D19" s="954" t="s">
        <v>1039</v>
      </c>
      <c r="E19" s="955"/>
      <c r="F19" s="955">
        <v>2802</v>
      </c>
      <c r="G19" s="955">
        <f t="shared" si="0"/>
        <v>2802</v>
      </c>
      <c r="H19" s="948"/>
      <c r="I19" s="948"/>
      <c r="J19" s="948"/>
      <c r="K19" s="948"/>
      <c r="L19" s="948"/>
    </row>
    <row r="20" spans="1:12" ht="13.5" customHeight="1" x14ac:dyDescent="0.2">
      <c r="B20" s="754"/>
      <c r="C20" s="944" t="s">
        <v>532</v>
      </c>
      <c r="D20" s="954" t="s">
        <v>1081</v>
      </c>
      <c r="E20" s="955"/>
      <c r="F20" s="955">
        <v>191</v>
      </c>
      <c r="G20" s="955">
        <f t="shared" si="0"/>
        <v>191</v>
      </c>
      <c r="H20" s="948"/>
      <c r="I20" s="948"/>
      <c r="J20" s="948"/>
      <c r="K20" s="948"/>
      <c r="L20" s="948"/>
    </row>
    <row r="21" spans="1:12" ht="13.5" customHeight="1" x14ac:dyDescent="0.2">
      <c r="B21" s="754"/>
      <c r="C21" s="944" t="s">
        <v>533</v>
      </c>
      <c r="D21" s="954" t="s">
        <v>1300</v>
      </c>
      <c r="E21" s="955"/>
      <c r="F21" s="955">
        <v>1778</v>
      </c>
      <c r="G21" s="955">
        <f t="shared" si="0"/>
        <v>1778</v>
      </c>
      <c r="H21" s="948"/>
      <c r="I21" s="948"/>
      <c r="J21" s="948"/>
      <c r="K21" s="948"/>
      <c r="L21" s="948"/>
    </row>
    <row r="22" spans="1:12" ht="13.5" customHeight="1" x14ac:dyDescent="0.2">
      <c r="B22" s="754"/>
      <c r="C22" s="756" t="s">
        <v>534</v>
      </c>
      <c r="D22" s="969" t="s">
        <v>1367</v>
      </c>
      <c r="E22" s="970">
        <v>3913</v>
      </c>
      <c r="F22" s="970"/>
      <c r="G22" s="970">
        <f t="shared" si="0"/>
        <v>3913</v>
      </c>
      <c r="H22" s="971"/>
      <c r="I22" s="971"/>
      <c r="J22" s="971"/>
      <c r="K22" s="971"/>
      <c r="L22" s="971"/>
    </row>
    <row r="23" spans="1:12" ht="13.5" customHeight="1" x14ac:dyDescent="0.2">
      <c r="B23" s="754"/>
      <c r="C23" s="944"/>
      <c r="D23" s="954"/>
      <c r="E23" s="955"/>
      <c r="F23" s="955"/>
      <c r="G23" s="955"/>
      <c r="H23" s="948"/>
      <c r="I23" s="948"/>
      <c r="J23" s="948"/>
      <c r="K23" s="948"/>
      <c r="L23" s="948"/>
    </row>
    <row r="24" spans="1:12" ht="13.5" customHeight="1" thickBot="1" x14ac:dyDescent="0.25">
      <c r="B24" s="754"/>
      <c r="C24" s="756"/>
      <c r="D24" s="969"/>
      <c r="E24" s="970"/>
      <c r="F24" s="970"/>
      <c r="G24" s="970"/>
      <c r="H24" s="971"/>
      <c r="I24" s="971"/>
      <c r="J24" s="971"/>
      <c r="K24" s="971"/>
      <c r="L24" s="971"/>
    </row>
    <row r="25" spans="1:12" ht="15" customHeight="1" thickBot="1" x14ac:dyDescent="0.25">
      <c r="B25" s="754"/>
      <c r="C25" s="757" t="s">
        <v>535</v>
      </c>
      <c r="D25" s="976" t="s">
        <v>455</v>
      </c>
      <c r="E25" s="599">
        <f>SUM(E12:E22)</f>
        <v>9763</v>
      </c>
      <c r="F25" s="599">
        <f t="shared" ref="F25:G25" si="1">SUM(F12:F22)</f>
        <v>58216</v>
      </c>
      <c r="G25" s="599">
        <f t="shared" si="1"/>
        <v>67979</v>
      </c>
      <c r="H25" s="977"/>
      <c r="I25" s="977"/>
      <c r="J25" s="977"/>
      <c r="K25" s="977"/>
      <c r="L25" s="978"/>
    </row>
    <row r="26" spans="1:12" ht="15" customHeight="1" x14ac:dyDescent="0.2">
      <c r="B26" s="754"/>
      <c r="C26" s="972" t="s">
        <v>536</v>
      </c>
      <c r="D26" s="973"/>
      <c r="E26" s="974"/>
      <c r="F26" s="974"/>
      <c r="G26" s="974"/>
      <c r="H26" s="975"/>
      <c r="I26" s="975"/>
      <c r="J26" s="975"/>
      <c r="K26" s="975"/>
      <c r="L26" s="975"/>
    </row>
    <row r="27" spans="1:12" x14ac:dyDescent="0.2">
      <c r="B27" s="754"/>
      <c r="C27" s="944" t="s">
        <v>537</v>
      </c>
      <c r="D27" s="956" t="s">
        <v>456</v>
      </c>
      <c r="E27" s="947"/>
      <c r="F27" s="947"/>
      <c r="G27" s="947"/>
      <c r="H27" s="948"/>
      <c r="I27" s="948"/>
      <c r="J27" s="948"/>
      <c r="K27" s="948"/>
      <c r="L27" s="948"/>
    </row>
    <row r="28" spans="1:12" s="8" customFormat="1" ht="15.6" customHeight="1" x14ac:dyDescent="0.2">
      <c r="A28" s="114"/>
      <c r="B28" s="755"/>
      <c r="C28" s="944" t="s">
        <v>539</v>
      </c>
      <c r="D28" s="953" t="s">
        <v>468</v>
      </c>
      <c r="E28" s="947">
        <v>128258</v>
      </c>
      <c r="F28" s="947"/>
      <c r="G28" s="947">
        <f>E28</f>
        <v>128258</v>
      </c>
      <c r="H28" s="856"/>
      <c r="I28" s="856"/>
      <c r="J28" s="856"/>
      <c r="K28" s="856"/>
      <c r="L28" s="856"/>
    </row>
    <row r="29" spans="1:12" s="8" customFormat="1" ht="12" customHeight="1" x14ac:dyDescent="0.2">
      <c r="A29" s="114"/>
      <c r="B29" s="755"/>
      <c r="C29" s="944" t="s">
        <v>540</v>
      </c>
      <c r="D29" s="953" t="s">
        <v>311</v>
      </c>
      <c r="E29" s="947">
        <v>11554</v>
      </c>
      <c r="F29" s="947"/>
      <c r="G29" s="947">
        <f t="shared" ref="G29:G35" si="2">SUM(E29:F29)</f>
        <v>11554</v>
      </c>
      <c r="H29" s="856"/>
      <c r="I29" s="856"/>
      <c r="J29" s="856"/>
      <c r="K29" s="856"/>
      <c r="L29" s="856"/>
    </row>
    <row r="30" spans="1:12" s="8" customFormat="1" ht="12" customHeight="1" x14ac:dyDescent="0.2">
      <c r="A30" s="114"/>
      <c r="B30" s="755"/>
      <c r="C30" s="944" t="s">
        <v>541</v>
      </c>
      <c r="D30" s="953" t="s">
        <v>969</v>
      </c>
      <c r="E30" s="947">
        <v>0</v>
      </c>
      <c r="F30" s="947"/>
      <c r="G30" s="947">
        <f t="shared" si="2"/>
        <v>0</v>
      </c>
      <c r="H30" s="856"/>
      <c r="I30" s="856"/>
      <c r="J30" s="856"/>
      <c r="K30" s="856"/>
      <c r="L30" s="856"/>
    </row>
    <row r="31" spans="1:12" s="8" customFormat="1" ht="12" customHeight="1" x14ac:dyDescent="0.2">
      <c r="A31" s="114"/>
      <c r="B31" s="755"/>
      <c r="C31" s="944"/>
      <c r="D31" s="953" t="s">
        <v>1373</v>
      </c>
      <c r="E31" s="947">
        <v>44</v>
      </c>
      <c r="F31" s="947"/>
      <c r="G31" s="947">
        <f t="shared" si="2"/>
        <v>44</v>
      </c>
      <c r="H31" s="856"/>
      <c r="I31" s="856"/>
      <c r="J31" s="856"/>
      <c r="K31" s="856"/>
      <c r="L31" s="856"/>
    </row>
    <row r="32" spans="1:12" s="8" customFormat="1" x14ac:dyDescent="0.2">
      <c r="A32" s="114"/>
      <c r="B32" s="755"/>
      <c r="C32" s="944" t="s">
        <v>542</v>
      </c>
      <c r="D32" s="952" t="s">
        <v>1050</v>
      </c>
      <c r="E32" s="947"/>
      <c r="F32" s="947">
        <v>19500</v>
      </c>
      <c r="G32" s="947">
        <f t="shared" si="2"/>
        <v>19500</v>
      </c>
      <c r="H32" s="856"/>
      <c r="I32" s="856"/>
      <c r="J32" s="856"/>
      <c r="K32" s="856"/>
      <c r="L32" s="856"/>
    </row>
    <row r="33" spans="1:12" s="8" customFormat="1" x14ac:dyDescent="0.2">
      <c r="A33" s="114"/>
      <c r="B33" s="755"/>
      <c r="C33" s="944" t="s">
        <v>543</v>
      </c>
      <c r="D33" s="952" t="s">
        <v>309</v>
      </c>
      <c r="E33" s="947"/>
      <c r="F33" s="947">
        <v>65000</v>
      </c>
      <c r="G33" s="947">
        <f t="shared" si="2"/>
        <v>65000</v>
      </c>
      <c r="H33" s="856"/>
      <c r="I33" s="856"/>
      <c r="J33" s="856"/>
      <c r="K33" s="856"/>
      <c r="L33" s="856"/>
    </row>
    <row r="34" spans="1:12" s="8" customFormat="1" x14ac:dyDescent="0.2">
      <c r="A34" s="114"/>
      <c r="B34" s="755"/>
      <c r="C34" s="944" t="s">
        <v>544</v>
      </c>
      <c r="D34" s="952" t="s">
        <v>1046</v>
      </c>
      <c r="E34" s="947"/>
      <c r="F34" s="947">
        <v>5000</v>
      </c>
      <c r="G34" s="947">
        <f t="shared" si="2"/>
        <v>5000</v>
      </c>
      <c r="H34" s="856"/>
      <c r="I34" s="856"/>
      <c r="J34" s="856"/>
      <c r="K34" s="856"/>
      <c r="L34" s="856"/>
    </row>
    <row r="35" spans="1:12" s="8" customFormat="1" x14ac:dyDescent="0.2">
      <c r="A35" s="114"/>
      <c r="B35" s="755"/>
      <c r="C35" s="944" t="s">
        <v>545</v>
      </c>
      <c r="D35" s="952" t="s">
        <v>1241</v>
      </c>
      <c r="E35" s="947"/>
      <c r="F35" s="947">
        <v>50000</v>
      </c>
      <c r="G35" s="947">
        <f t="shared" si="2"/>
        <v>50000</v>
      </c>
      <c r="H35" s="856"/>
      <c r="I35" s="856"/>
      <c r="J35" s="856"/>
      <c r="K35" s="856"/>
      <c r="L35" s="856"/>
    </row>
    <row r="36" spans="1:12" s="8" customFormat="1" x14ac:dyDescent="0.2">
      <c r="A36" s="114"/>
      <c r="B36" s="755"/>
      <c r="C36" s="944" t="s">
        <v>546</v>
      </c>
      <c r="D36" s="957" t="s">
        <v>180</v>
      </c>
      <c r="E36" s="951"/>
      <c r="F36" s="951">
        <v>2000</v>
      </c>
      <c r="G36" s="951">
        <f>E36+F36</f>
        <v>2000</v>
      </c>
      <c r="H36" s="856"/>
      <c r="I36" s="856"/>
      <c r="J36" s="856"/>
      <c r="K36" s="856"/>
      <c r="L36" s="856"/>
    </row>
    <row r="37" spans="1:12" s="8" customFormat="1" x14ac:dyDescent="0.2">
      <c r="A37" s="114"/>
      <c r="B37" s="755"/>
      <c r="C37" s="944" t="s">
        <v>564</v>
      </c>
      <c r="D37" s="957" t="s">
        <v>310</v>
      </c>
      <c r="E37" s="951"/>
      <c r="F37" s="951">
        <v>3500</v>
      </c>
      <c r="G37" s="951">
        <f>E37+F37</f>
        <v>3500</v>
      </c>
      <c r="H37" s="856"/>
      <c r="I37" s="856"/>
      <c r="J37" s="856"/>
      <c r="K37" s="856"/>
      <c r="L37" s="856"/>
    </row>
    <row r="38" spans="1:12" s="8" customFormat="1" x14ac:dyDescent="0.2">
      <c r="A38" s="114"/>
      <c r="B38" s="755"/>
      <c r="C38" s="944" t="s">
        <v>565</v>
      </c>
      <c r="D38" s="957" t="s">
        <v>312</v>
      </c>
      <c r="E38" s="951"/>
      <c r="F38" s="951">
        <v>500</v>
      </c>
      <c r="G38" s="951">
        <f>E38+F38</f>
        <v>500</v>
      </c>
      <c r="H38" s="856"/>
      <c r="I38" s="856"/>
      <c r="J38" s="856"/>
      <c r="K38" s="856"/>
      <c r="L38" s="856"/>
    </row>
    <row r="39" spans="1:12" s="8" customFormat="1" x14ac:dyDescent="0.2">
      <c r="A39" s="114"/>
      <c r="B39" s="755"/>
      <c r="C39" s="944" t="s">
        <v>566</v>
      </c>
      <c r="D39" s="952" t="s">
        <v>313</v>
      </c>
      <c r="E39" s="951"/>
      <c r="F39" s="951">
        <v>1000</v>
      </c>
      <c r="G39" s="951">
        <f>F39</f>
        <v>1000</v>
      </c>
      <c r="H39" s="856"/>
      <c r="I39" s="856"/>
      <c r="J39" s="856"/>
      <c r="K39" s="856"/>
      <c r="L39" s="856"/>
    </row>
    <row r="40" spans="1:12" s="8" customFormat="1" x14ac:dyDescent="0.2">
      <c r="A40" s="114"/>
      <c r="B40" s="755"/>
      <c r="C40" s="944" t="s">
        <v>567</v>
      </c>
      <c r="D40" s="952" t="s">
        <v>1293</v>
      </c>
      <c r="E40" s="951"/>
      <c r="F40" s="951">
        <v>1700</v>
      </c>
      <c r="G40" s="951">
        <f>SUM(E40:F40)</f>
        <v>1700</v>
      </c>
      <c r="H40" s="958"/>
      <c r="I40" s="856"/>
      <c r="J40" s="856"/>
      <c r="K40" s="856"/>
      <c r="L40" s="856"/>
    </row>
    <row r="41" spans="1:12" s="8" customFormat="1" x14ac:dyDescent="0.2">
      <c r="A41" s="114"/>
      <c r="B41" s="755"/>
      <c r="C41" s="944" t="s">
        <v>568</v>
      </c>
      <c r="D41" s="952" t="s">
        <v>169</v>
      </c>
      <c r="E41" s="951"/>
      <c r="F41" s="951">
        <v>300</v>
      </c>
      <c r="G41" s="951">
        <f t="shared" ref="G41:G67" si="3">E41+F41</f>
        <v>300</v>
      </c>
      <c r="H41" s="856"/>
      <c r="I41" s="856"/>
      <c r="J41" s="856"/>
      <c r="K41" s="856"/>
      <c r="L41" s="856"/>
    </row>
    <row r="42" spans="1:12" s="8" customFormat="1" x14ac:dyDescent="0.2">
      <c r="A42" s="114"/>
      <c r="B42" s="755"/>
      <c r="C42" s="944" t="s">
        <v>569</v>
      </c>
      <c r="D42" s="952" t="s">
        <v>170</v>
      </c>
      <c r="E42" s="951"/>
      <c r="F42" s="951">
        <v>2000</v>
      </c>
      <c r="G42" s="951">
        <f t="shared" si="3"/>
        <v>2000</v>
      </c>
      <c r="H42" s="856"/>
      <c r="I42" s="856"/>
      <c r="J42" s="856"/>
      <c r="K42" s="856"/>
      <c r="L42" s="856"/>
    </row>
    <row r="43" spans="1:12" s="8" customFormat="1" x14ac:dyDescent="0.2">
      <c r="A43" s="114"/>
      <c r="B43" s="755"/>
      <c r="C43" s="944" t="s">
        <v>570</v>
      </c>
      <c r="D43" s="952" t="s">
        <v>286</v>
      </c>
      <c r="E43" s="951"/>
      <c r="F43" s="951">
        <v>1000</v>
      </c>
      <c r="G43" s="951">
        <f t="shared" si="3"/>
        <v>1000</v>
      </c>
      <c r="H43" s="856"/>
      <c r="I43" s="856"/>
      <c r="J43" s="856"/>
      <c r="K43" s="856"/>
      <c r="L43" s="856"/>
    </row>
    <row r="44" spans="1:12" s="8" customFormat="1" x14ac:dyDescent="0.2">
      <c r="A44" s="114"/>
      <c r="B44" s="755"/>
      <c r="C44" s="944" t="s">
        <v>571</v>
      </c>
      <c r="D44" s="952" t="s">
        <v>287</v>
      </c>
      <c r="E44" s="951"/>
      <c r="F44" s="951">
        <v>2000</v>
      </c>
      <c r="G44" s="951">
        <f t="shared" si="3"/>
        <v>2000</v>
      </c>
      <c r="H44" s="856"/>
      <c r="I44" s="856"/>
      <c r="J44" s="856"/>
      <c r="K44" s="856"/>
      <c r="L44" s="856"/>
    </row>
    <row r="45" spans="1:12" s="8" customFormat="1" x14ac:dyDescent="0.2">
      <c r="A45" s="114"/>
      <c r="B45" s="755"/>
      <c r="C45" s="944" t="s">
        <v>572</v>
      </c>
      <c r="D45" s="952" t="s">
        <v>937</v>
      </c>
      <c r="E45" s="951"/>
      <c r="F45" s="959">
        <v>500</v>
      </c>
      <c r="G45" s="951">
        <v>500</v>
      </c>
      <c r="H45" s="856"/>
      <c r="I45" s="856"/>
      <c r="J45" s="856"/>
      <c r="K45" s="856"/>
      <c r="L45" s="856"/>
    </row>
    <row r="46" spans="1:12" s="8" customFormat="1" x14ac:dyDescent="0.2">
      <c r="A46" s="114"/>
      <c r="B46" s="755"/>
      <c r="C46" s="944" t="s">
        <v>624</v>
      </c>
      <c r="D46" s="952" t="s">
        <v>938</v>
      </c>
      <c r="E46" s="951"/>
      <c r="F46" s="951">
        <v>300</v>
      </c>
      <c r="G46" s="951">
        <f t="shared" si="3"/>
        <v>300</v>
      </c>
      <c r="H46" s="856"/>
      <c r="I46" s="856"/>
      <c r="J46" s="856"/>
      <c r="K46" s="856"/>
      <c r="L46" s="856"/>
    </row>
    <row r="47" spans="1:12" s="8" customFormat="1" x14ac:dyDescent="0.2">
      <c r="A47" s="114"/>
      <c r="B47" s="755"/>
      <c r="C47" s="944" t="s">
        <v>625</v>
      </c>
      <c r="D47" s="952" t="s">
        <v>966</v>
      </c>
      <c r="E47" s="951"/>
      <c r="F47" s="951">
        <v>50</v>
      </c>
      <c r="G47" s="951">
        <f t="shared" si="3"/>
        <v>50</v>
      </c>
      <c r="H47" s="856"/>
      <c r="I47" s="856"/>
      <c r="J47" s="856"/>
      <c r="K47" s="856"/>
      <c r="L47" s="856"/>
    </row>
    <row r="48" spans="1:12" s="8" customFormat="1" ht="12.75" customHeight="1" x14ac:dyDescent="0.2">
      <c r="A48" s="114"/>
      <c r="B48" s="755"/>
      <c r="C48" s="944" t="s">
        <v>626</v>
      </c>
      <c r="D48" s="952" t="s">
        <v>1049</v>
      </c>
      <c r="E48" s="951"/>
      <c r="F48" s="951">
        <v>900</v>
      </c>
      <c r="G48" s="951">
        <f t="shared" si="3"/>
        <v>900</v>
      </c>
      <c r="H48" s="856"/>
      <c r="I48" s="856"/>
      <c r="J48" s="856"/>
      <c r="K48" s="856"/>
      <c r="L48" s="856"/>
    </row>
    <row r="49" spans="1:12" s="8" customFormat="1" x14ac:dyDescent="0.2">
      <c r="A49" s="114"/>
      <c r="B49" s="755"/>
      <c r="C49" s="944" t="s">
        <v>627</v>
      </c>
      <c r="D49" s="952" t="s">
        <v>967</v>
      </c>
      <c r="E49" s="951"/>
      <c r="F49" s="951">
        <v>100</v>
      </c>
      <c r="G49" s="951">
        <f t="shared" si="3"/>
        <v>100</v>
      </c>
      <c r="H49" s="856"/>
      <c r="I49" s="856"/>
      <c r="J49" s="856"/>
      <c r="K49" s="856"/>
      <c r="L49" s="856"/>
    </row>
    <row r="50" spans="1:12" s="8" customFormat="1" x14ac:dyDescent="0.2">
      <c r="A50" s="114"/>
      <c r="B50" s="755"/>
      <c r="C50" s="944" t="s">
        <v>115</v>
      </c>
      <c r="D50" s="960" t="s">
        <v>968</v>
      </c>
      <c r="E50" s="961"/>
      <c r="F50" s="961">
        <v>75</v>
      </c>
      <c r="G50" s="961">
        <f t="shared" si="3"/>
        <v>75</v>
      </c>
      <c r="H50" s="856"/>
      <c r="I50" s="856"/>
      <c r="J50" s="856"/>
      <c r="K50" s="856"/>
      <c r="L50" s="856"/>
    </row>
    <row r="51" spans="1:12" s="8" customFormat="1" x14ac:dyDescent="0.2">
      <c r="A51" s="114"/>
      <c r="B51" s="755"/>
      <c r="C51" s="944" t="s">
        <v>652</v>
      </c>
      <c r="D51" s="960" t="s">
        <v>1242</v>
      </c>
      <c r="E51" s="961"/>
      <c r="F51" s="961">
        <v>2500</v>
      </c>
      <c r="G51" s="961">
        <f t="shared" si="3"/>
        <v>2500</v>
      </c>
      <c r="H51" s="856"/>
      <c r="I51" s="856"/>
      <c r="J51" s="856"/>
      <c r="K51" s="856"/>
      <c r="L51" s="856"/>
    </row>
    <row r="52" spans="1:12" s="8" customFormat="1" x14ac:dyDescent="0.2">
      <c r="A52" s="114"/>
      <c r="B52" s="755"/>
      <c r="C52" s="944" t="s">
        <v>653</v>
      </c>
      <c r="D52" s="960" t="s">
        <v>1047</v>
      </c>
      <c r="E52" s="961"/>
      <c r="F52" s="961">
        <v>50</v>
      </c>
      <c r="G52" s="961">
        <f t="shared" si="3"/>
        <v>50</v>
      </c>
      <c r="H52" s="856"/>
      <c r="I52" s="856"/>
      <c r="J52" s="856"/>
      <c r="K52" s="856"/>
      <c r="L52" s="856"/>
    </row>
    <row r="53" spans="1:12" s="8" customFormat="1" ht="24" x14ac:dyDescent="0.2">
      <c r="A53" s="114"/>
      <c r="B53" s="755"/>
      <c r="C53" s="949" t="s">
        <v>118</v>
      </c>
      <c r="D53" s="962" t="s">
        <v>1048</v>
      </c>
      <c r="E53" s="961"/>
      <c r="F53" s="961">
        <v>150</v>
      </c>
      <c r="G53" s="961">
        <f t="shared" si="3"/>
        <v>150</v>
      </c>
      <c r="H53" s="856"/>
      <c r="I53" s="856"/>
      <c r="J53" s="856"/>
      <c r="K53" s="856"/>
      <c r="L53" s="856"/>
    </row>
    <row r="54" spans="1:12" s="8" customFormat="1" x14ac:dyDescent="0.2">
      <c r="A54" s="114"/>
      <c r="B54" s="755"/>
      <c r="C54" s="944" t="s">
        <v>119</v>
      </c>
      <c r="D54" s="960" t="s">
        <v>1055</v>
      </c>
      <c r="E54" s="961"/>
      <c r="F54" s="961">
        <v>127</v>
      </c>
      <c r="G54" s="961">
        <f t="shared" si="3"/>
        <v>127</v>
      </c>
      <c r="H54" s="856"/>
      <c r="I54" s="856"/>
      <c r="J54" s="856"/>
      <c r="K54" s="856"/>
      <c r="L54" s="856"/>
    </row>
    <row r="55" spans="1:12" s="8" customFormat="1" ht="25.5" customHeight="1" x14ac:dyDescent="0.2">
      <c r="A55" s="114"/>
      <c r="B55" s="755"/>
      <c r="C55" s="949" t="s">
        <v>120</v>
      </c>
      <c r="D55" s="962" t="s">
        <v>1127</v>
      </c>
      <c r="E55" s="961"/>
      <c r="F55" s="961"/>
      <c r="G55" s="961">
        <f t="shared" si="3"/>
        <v>0</v>
      </c>
      <c r="H55" s="856"/>
      <c r="I55" s="856"/>
      <c r="J55" s="856"/>
      <c r="K55" s="856"/>
      <c r="L55" s="856"/>
    </row>
    <row r="56" spans="1:12" s="8" customFormat="1" ht="12.75" customHeight="1" x14ac:dyDescent="0.2">
      <c r="A56" s="114"/>
      <c r="B56" s="755"/>
      <c r="C56" s="944" t="s">
        <v>123</v>
      </c>
      <c r="D56" s="960" t="s">
        <v>1124</v>
      </c>
      <c r="E56" s="961"/>
      <c r="F56" s="961"/>
      <c r="G56" s="961">
        <f t="shared" si="3"/>
        <v>0</v>
      </c>
      <c r="H56" s="856"/>
      <c r="I56" s="856"/>
      <c r="J56" s="856"/>
      <c r="K56" s="856"/>
      <c r="L56" s="856"/>
    </row>
    <row r="57" spans="1:12" s="8" customFormat="1" ht="25.5" customHeight="1" x14ac:dyDescent="0.2">
      <c r="A57" s="114"/>
      <c r="B57" s="755"/>
      <c r="C57" s="949" t="s">
        <v>126</v>
      </c>
      <c r="D57" s="962" t="s">
        <v>1126</v>
      </c>
      <c r="E57" s="961"/>
      <c r="F57" s="961"/>
      <c r="G57" s="961">
        <f t="shared" si="3"/>
        <v>0</v>
      </c>
      <c r="H57" s="856"/>
      <c r="I57" s="856"/>
      <c r="J57" s="856"/>
      <c r="K57" s="856"/>
      <c r="L57" s="856"/>
    </row>
    <row r="58" spans="1:12" s="8" customFormat="1" ht="12.75" customHeight="1" x14ac:dyDescent="0.2">
      <c r="A58" s="114"/>
      <c r="B58" s="755"/>
      <c r="C58" s="944" t="s">
        <v>127</v>
      </c>
      <c r="D58" s="960" t="s">
        <v>1125</v>
      </c>
      <c r="E58" s="961"/>
      <c r="F58" s="961"/>
      <c r="G58" s="961">
        <f t="shared" si="3"/>
        <v>0</v>
      </c>
      <c r="H58" s="856"/>
      <c r="I58" s="856"/>
      <c r="J58" s="856"/>
      <c r="K58" s="856"/>
      <c r="L58" s="856"/>
    </row>
    <row r="59" spans="1:12" s="8" customFormat="1" ht="27" customHeight="1" x14ac:dyDescent="0.2">
      <c r="A59" s="114"/>
      <c r="B59" s="755"/>
      <c r="C59" s="944" t="s">
        <v>128</v>
      </c>
      <c r="D59" s="960" t="s">
        <v>1227</v>
      </c>
      <c r="E59" s="961"/>
      <c r="F59" s="961">
        <v>16674</v>
      </c>
      <c r="G59" s="961">
        <f t="shared" si="3"/>
        <v>16674</v>
      </c>
      <c r="H59" s="856"/>
      <c r="I59" s="856"/>
      <c r="J59" s="856"/>
      <c r="K59" s="856"/>
      <c r="L59" s="856"/>
    </row>
    <row r="60" spans="1:12" s="8" customFormat="1" ht="15" customHeight="1" x14ac:dyDescent="0.2">
      <c r="A60" s="114"/>
      <c r="B60" s="755"/>
      <c r="C60" s="944" t="s">
        <v>129</v>
      </c>
      <c r="D60" s="960" t="s">
        <v>1279</v>
      </c>
      <c r="E60" s="961"/>
      <c r="F60" s="961">
        <v>1000</v>
      </c>
      <c r="G60" s="961">
        <f t="shared" si="3"/>
        <v>1000</v>
      </c>
      <c r="H60" s="856"/>
      <c r="I60" s="856"/>
      <c r="J60" s="856"/>
      <c r="K60" s="856"/>
      <c r="L60" s="856"/>
    </row>
    <row r="61" spans="1:12" s="8" customFormat="1" ht="15" customHeight="1" x14ac:dyDescent="0.2">
      <c r="A61" s="114"/>
      <c r="B61" s="755"/>
      <c r="C61" s="944" t="s">
        <v>132</v>
      </c>
      <c r="D61" s="960" t="s">
        <v>1280</v>
      </c>
      <c r="E61" s="961"/>
      <c r="F61" s="961">
        <v>500</v>
      </c>
      <c r="G61" s="961">
        <f t="shared" si="3"/>
        <v>500</v>
      </c>
      <c r="H61" s="856"/>
      <c r="I61" s="856"/>
      <c r="J61" s="856"/>
      <c r="K61" s="856"/>
      <c r="L61" s="856"/>
    </row>
    <row r="62" spans="1:12" s="8" customFormat="1" ht="15" customHeight="1" x14ac:dyDescent="0.2">
      <c r="A62" s="114"/>
      <c r="B62" s="755"/>
      <c r="C62" s="944" t="s">
        <v>135</v>
      </c>
      <c r="D62" s="960" t="s">
        <v>1301</v>
      </c>
      <c r="E62" s="961"/>
      <c r="F62" s="961">
        <v>200</v>
      </c>
      <c r="G62" s="961">
        <f t="shared" si="3"/>
        <v>200</v>
      </c>
      <c r="H62" s="856"/>
      <c r="I62" s="856"/>
      <c r="J62" s="856"/>
      <c r="K62" s="856"/>
      <c r="L62" s="856"/>
    </row>
    <row r="63" spans="1:12" s="8" customFormat="1" ht="15" customHeight="1" x14ac:dyDescent="0.2">
      <c r="A63" s="114"/>
      <c r="B63" s="755"/>
      <c r="C63" s="944" t="s">
        <v>138</v>
      </c>
      <c r="D63" s="960" t="s">
        <v>1302</v>
      </c>
      <c r="E63" s="961"/>
      <c r="F63" s="961">
        <v>50</v>
      </c>
      <c r="G63" s="961">
        <f t="shared" si="3"/>
        <v>50</v>
      </c>
      <c r="H63" s="856"/>
      <c r="I63" s="856"/>
      <c r="J63" s="856"/>
      <c r="K63" s="856"/>
      <c r="L63" s="856"/>
    </row>
    <row r="64" spans="1:12" s="8" customFormat="1" ht="15" customHeight="1" x14ac:dyDescent="0.2">
      <c r="A64" s="114"/>
      <c r="B64" s="755"/>
      <c r="C64" s="944" t="s">
        <v>139</v>
      </c>
      <c r="D64" s="960" t="s">
        <v>1374</v>
      </c>
      <c r="E64" s="961">
        <v>9951</v>
      </c>
      <c r="F64" s="961"/>
      <c r="G64" s="961">
        <f t="shared" si="3"/>
        <v>9951</v>
      </c>
      <c r="H64" s="856"/>
      <c r="I64" s="856"/>
      <c r="J64" s="856"/>
      <c r="K64" s="856"/>
      <c r="L64" s="856"/>
    </row>
    <row r="65" spans="1:12" s="8" customFormat="1" ht="15" customHeight="1" x14ac:dyDescent="0.2">
      <c r="A65" s="114"/>
      <c r="B65" s="755"/>
      <c r="C65" s="944" t="s">
        <v>142</v>
      </c>
      <c r="D65" s="960" t="s">
        <v>1375</v>
      </c>
      <c r="E65" s="961">
        <v>9273</v>
      </c>
      <c r="F65" s="961"/>
      <c r="G65" s="961">
        <f t="shared" si="3"/>
        <v>9273</v>
      </c>
      <c r="H65" s="856"/>
      <c r="I65" s="856"/>
      <c r="J65" s="856"/>
      <c r="K65" s="856"/>
      <c r="L65" s="856"/>
    </row>
    <row r="66" spans="1:12" s="8" customFormat="1" ht="28.5" customHeight="1" x14ac:dyDescent="0.2">
      <c r="A66" s="114"/>
      <c r="B66" s="755"/>
      <c r="C66" s="949" t="s">
        <v>143</v>
      </c>
      <c r="D66" s="960" t="s">
        <v>1377</v>
      </c>
      <c r="E66" s="961"/>
      <c r="F66" s="961">
        <v>50</v>
      </c>
      <c r="G66" s="961">
        <f t="shared" si="3"/>
        <v>50</v>
      </c>
      <c r="H66" s="856"/>
      <c r="I66" s="856"/>
      <c r="J66" s="856"/>
      <c r="K66" s="856"/>
      <c r="L66" s="856"/>
    </row>
    <row r="67" spans="1:12" s="8" customFormat="1" ht="26.25" customHeight="1" x14ac:dyDescent="0.2">
      <c r="A67" s="114"/>
      <c r="B67" s="755"/>
      <c r="C67" s="949" t="s">
        <v>144</v>
      </c>
      <c r="D67" s="960" t="s">
        <v>1376</v>
      </c>
      <c r="E67" s="961"/>
      <c r="F67" s="961">
        <v>50</v>
      </c>
      <c r="G67" s="961">
        <f t="shared" si="3"/>
        <v>50</v>
      </c>
      <c r="H67" s="856"/>
      <c r="I67" s="856"/>
      <c r="J67" s="856"/>
      <c r="K67" s="856"/>
      <c r="L67" s="856"/>
    </row>
    <row r="68" spans="1:12" s="8" customFormat="1" ht="16.5" customHeight="1" x14ac:dyDescent="0.2">
      <c r="A68" s="114"/>
      <c r="B68" s="755"/>
      <c r="C68" s="949"/>
      <c r="D68" s="960"/>
      <c r="E68" s="961"/>
      <c r="F68" s="961"/>
      <c r="G68" s="961"/>
      <c r="H68" s="856"/>
      <c r="I68" s="856"/>
      <c r="J68" s="856"/>
      <c r="K68" s="856"/>
      <c r="L68" s="856"/>
    </row>
    <row r="69" spans="1:12" s="8" customFormat="1" ht="16.5" customHeight="1" x14ac:dyDescent="0.2">
      <c r="A69" s="114"/>
      <c r="B69" s="755"/>
      <c r="C69" s="949"/>
      <c r="D69" s="960"/>
      <c r="E69" s="961"/>
      <c r="F69" s="961"/>
      <c r="G69" s="961"/>
      <c r="H69" s="856"/>
      <c r="I69" s="856"/>
      <c r="J69" s="856"/>
      <c r="K69" s="856"/>
      <c r="L69" s="856"/>
    </row>
    <row r="70" spans="1:12" s="8" customFormat="1" ht="16.5" customHeight="1" x14ac:dyDescent="0.2">
      <c r="A70" s="114"/>
      <c r="B70" s="755"/>
      <c r="C70" s="949"/>
      <c r="D70" s="960"/>
      <c r="E70" s="961"/>
      <c r="F70" s="961"/>
      <c r="G70" s="961"/>
      <c r="H70" s="856"/>
      <c r="I70" s="856"/>
      <c r="J70" s="856"/>
      <c r="K70" s="856"/>
      <c r="L70" s="856"/>
    </row>
    <row r="71" spans="1:12" s="8" customFormat="1" ht="14.25" customHeight="1" x14ac:dyDescent="0.2">
      <c r="A71" s="114"/>
      <c r="B71" s="755"/>
      <c r="C71" s="949"/>
      <c r="D71" s="960"/>
      <c r="E71" s="961"/>
      <c r="F71" s="961"/>
      <c r="G71" s="961"/>
      <c r="H71" s="856"/>
      <c r="I71" s="856"/>
      <c r="J71" s="856"/>
      <c r="K71" s="856"/>
      <c r="L71" s="856"/>
    </row>
    <row r="72" spans="1:12" s="8" customFormat="1" ht="12.75" thickBot="1" x14ac:dyDescent="0.25">
      <c r="A72" s="114"/>
      <c r="B72" s="755"/>
      <c r="C72" s="756" t="s">
        <v>146</v>
      </c>
      <c r="D72" s="980" t="s">
        <v>1037</v>
      </c>
      <c r="E72" s="981">
        <v>0</v>
      </c>
      <c r="F72" s="981">
        <v>430</v>
      </c>
      <c r="G72" s="981">
        <f>SUM(E72:F72)</f>
        <v>430</v>
      </c>
      <c r="H72" s="871"/>
      <c r="I72" s="871"/>
      <c r="J72" s="871"/>
      <c r="K72" s="871"/>
      <c r="L72" s="871"/>
    </row>
    <row r="73" spans="1:12" s="8" customFormat="1" ht="12.75" thickBot="1" x14ac:dyDescent="0.25">
      <c r="A73" s="114"/>
      <c r="B73" s="755"/>
      <c r="C73" s="757" t="s">
        <v>148</v>
      </c>
      <c r="D73" s="976" t="s">
        <v>457</v>
      </c>
      <c r="E73" s="599">
        <f>SUM(E27:E72)</f>
        <v>159080</v>
      </c>
      <c r="F73" s="599">
        <f>SUM(F32:F72)</f>
        <v>177206</v>
      </c>
      <c r="G73" s="599">
        <f>SUM(G27:G72)</f>
        <v>336286</v>
      </c>
      <c r="H73" s="886"/>
      <c r="I73" s="886"/>
      <c r="J73" s="886"/>
      <c r="K73" s="886"/>
      <c r="L73" s="887"/>
    </row>
    <row r="74" spans="1:12" x14ac:dyDescent="0.2">
      <c r="B74" s="754"/>
      <c r="C74" s="972" t="s">
        <v>151</v>
      </c>
      <c r="D74" s="982"/>
      <c r="E74" s="983"/>
      <c r="F74" s="983"/>
      <c r="G74" s="983"/>
      <c r="H74" s="975"/>
      <c r="I74" s="975"/>
      <c r="J74" s="975"/>
      <c r="K74" s="975"/>
      <c r="L74" s="975"/>
    </row>
    <row r="75" spans="1:12" x14ac:dyDescent="0.2">
      <c r="B75" s="754"/>
      <c r="C75" s="944" t="s">
        <v>153</v>
      </c>
      <c r="D75" s="950" t="s">
        <v>1107</v>
      </c>
      <c r="E75" s="963">
        <f>E25+E73</f>
        <v>168843</v>
      </c>
      <c r="F75" s="963">
        <f>F25+F73</f>
        <v>235422</v>
      </c>
      <c r="G75" s="963">
        <f>G25+G73</f>
        <v>404265</v>
      </c>
      <c r="H75" s="948"/>
      <c r="I75" s="948"/>
      <c r="J75" s="948"/>
      <c r="K75" s="948"/>
      <c r="L75" s="948"/>
    </row>
    <row r="76" spans="1:12" x14ac:dyDescent="0.2">
      <c r="B76" s="754"/>
      <c r="C76" s="944" t="s">
        <v>154</v>
      </c>
      <c r="D76" s="964"/>
      <c r="E76" s="965"/>
      <c r="F76" s="965"/>
      <c r="G76" s="965"/>
      <c r="H76" s="948"/>
      <c r="I76" s="948"/>
      <c r="J76" s="948"/>
      <c r="K76" s="948"/>
      <c r="L76" s="948"/>
    </row>
    <row r="77" spans="1:12" x14ac:dyDescent="0.2">
      <c r="B77" s="754"/>
      <c r="C77" s="944" t="s">
        <v>155</v>
      </c>
      <c r="D77" s="966" t="s">
        <v>327</v>
      </c>
      <c r="E77" s="965"/>
      <c r="F77" s="965"/>
      <c r="G77" s="965"/>
      <c r="H77" s="948"/>
      <c r="I77" s="948"/>
      <c r="J77" s="948"/>
      <c r="K77" s="948"/>
      <c r="L77" s="948"/>
    </row>
    <row r="78" spans="1:12" x14ac:dyDescent="0.2">
      <c r="B78" s="754"/>
      <c r="C78" s="944" t="s">
        <v>1079</v>
      </c>
      <c r="D78" s="950" t="s">
        <v>454</v>
      </c>
      <c r="E78" s="965"/>
      <c r="F78" s="965"/>
      <c r="G78" s="965"/>
      <c r="H78" s="948"/>
      <c r="I78" s="948"/>
      <c r="J78" s="948"/>
      <c r="K78" s="948"/>
      <c r="L78" s="948"/>
    </row>
    <row r="79" spans="1:12" ht="12.75" thickBot="1" x14ac:dyDescent="0.25">
      <c r="B79" s="754"/>
      <c r="C79" s="756" t="s">
        <v>1080</v>
      </c>
      <c r="D79" s="984" t="s">
        <v>1303</v>
      </c>
      <c r="E79" s="985">
        <v>13</v>
      </c>
      <c r="F79" s="985"/>
      <c r="G79" s="985">
        <f>E79+F79</f>
        <v>13</v>
      </c>
      <c r="H79" s="971"/>
      <c r="I79" s="971"/>
      <c r="J79" s="971"/>
      <c r="K79" s="971"/>
      <c r="L79" s="971"/>
    </row>
    <row r="80" spans="1:12" ht="12.75" thickBot="1" x14ac:dyDescent="0.25">
      <c r="B80" s="754"/>
      <c r="C80" s="757" t="s">
        <v>1275</v>
      </c>
      <c r="D80" s="976" t="s">
        <v>1110</v>
      </c>
      <c r="E80" s="747">
        <f>SUM(E79)</f>
        <v>13</v>
      </c>
      <c r="F80" s="747">
        <f t="shared" ref="F80:G80" si="4">SUM(F79)</f>
        <v>0</v>
      </c>
      <c r="G80" s="747">
        <f t="shared" si="4"/>
        <v>13</v>
      </c>
      <c r="H80" s="977"/>
      <c r="I80" s="977"/>
      <c r="J80" s="977"/>
      <c r="K80" s="977"/>
      <c r="L80" s="978"/>
    </row>
    <row r="81" spans="2:12" x14ac:dyDescent="0.2">
      <c r="B81" s="754"/>
      <c r="C81" s="972" t="s">
        <v>1276</v>
      </c>
      <c r="D81" s="973"/>
      <c r="E81" s="986"/>
      <c r="F81" s="986"/>
      <c r="G81" s="986"/>
      <c r="H81" s="975"/>
      <c r="I81" s="975"/>
      <c r="J81" s="975"/>
      <c r="K81" s="975"/>
      <c r="L81" s="975"/>
    </row>
    <row r="82" spans="2:12" x14ac:dyDescent="0.2">
      <c r="B82" s="754"/>
      <c r="C82" s="944" t="s">
        <v>1277</v>
      </c>
      <c r="D82" s="950" t="s">
        <v>456</v>
      </c>
      <c r="E82" s="967"/>
      <c r="F82" s="967"/>
      <c r="G82" s="967"/>
      <c r="H82" s="948"/>
      <c r="I82" s="948"/>
      <c r="J82" s="948"/>
      <c r="K82" s="948"/>
      <c r="L82" s="948"/>
    </row>
    <row r="83" spans="2:12" ht="12.75" thickBot="1" x14ac:dyDescent="0.25">
      <c r="B83" s="754"/>
      <c r="C83" s="756" t="s">
        <v>1357</v>
      </c>
      <c r="D83" s="980" t="s">
        <v>1304</v>
      </c>
      <c r="E83" s="985">
        <v>9</v>
      </c>
      <c r="F83" s="985"/>
      <c r="G83" s="985">
        <f>F83+E83</f>
        <v>9</v>
      </c>
      <c r="H83" s="971"/>
      <c r="I83" s="971"/>
      <c r="J83" s="971"/>
      <c r="K83" s="971"/>
      <c r="L83" s="971"/>
    </row>
    <row r="84" spans="2:12" ht="12.75" thickBot="1" x14ac:dyDescent="0.25">
      <c r="B84" s="754"/>
      <c r="C84" s="757" t="s">
        <v>1358</v>
      </c>
      <c r="D84" s="990" t="s">
        <v>1305</v>
      </c>
      <c r="E84" s="747">
        <f>SUM(E83)</f>
        <v>9</v>
      </c>
      <c r="F84" s="747"/>
      <c r="G84" s="747">
        <f>SUM(G83)</f>
        <v>9</v>
      </c>
      <c r="H84" s="977"/>
      <c r="I84" s="977"/>
      <c r="J84" s="977"/>
      <c r="K84" s="977"/>
      <c r="L84" s="978"/>
    </row>
    <row r="85" spans="2:12" ht="12.75" thickBot="1" x14ac:dyDescent="0.25">
      <c r="B85" s="754"/>
      <c r="C85" s="758" t="s">
        <v>1365</v>
      </c>
      <c r="D85" s="989"/>
      <c r="E85" s="748"/>
      <c r="F85" s="748"/>
      <c r="G85" s="748"/>
      <c r="H85" s="979"/>
      <c r="I85" s="979"/>
      <c r="J85" s="979"/>
      <c r="K85" s="979"/>
      <c r="L85" s="979"/>
    </row>
    <row r="86" spans="2:12" ht="12.75" thickBot="1" x14ac:dyDescent="0.25">
      <c r="B86" s="754"/>
      <c r="C86" s="757" t="s">
        <v>1366</v>
      </c>
      <c r="D86" s="988" t="s">
        <v>1108</v>
      </c>
      <c r="E86" s="747">
        <f>E80+E84</f>
        <v>22</v>
      </c>
      <c r="F86" s="747">
        <f t="shared" ref="F86:G86" si="5">F80+F84</f>
        <v>0</v>
      </c>
      <c r="G86" s="747">
        <f t="shared" si="5"/>
        <v>22</v>
      </c>
      <c r="H86" s="977"/>
      <c r="I86" s="977"/>
      <c r="J86" s="977"/>
      <c r="K86" s="977"/>
      <c r="L86" s="978"/>
    </row>
    <row r="87" spans="2:12" x14ac:dyDescent="0.2">
      <c r="B87" s="754"/>
      <c r="C87" s="972" t="s">
        <v>1368</v>
      </c>
      <c r="D87" s="987"/>
      <c r="E87" s="986"/>
      <c r="F87" s="986"/>
      <c r="G87" s="986"/>
      <c r="H87" s="975"/>
      <c r="I87" s="975"/>
      <c r="J87" s="975"/>
      <c r="K87" s="975"/>
      <c r="L87" s="975"/>
    </row>
    <row r="88" spans="2:12" ht="24" x14ac:dyDescent="0.2">
      <c r="B88" s="754"/>
      <c r="C88" s="944" t="s">
        <v>1369</v>
      </c>
      <c r="D88" s="950" t="s">
        <v>1111</v>
      </c>
      <c r="E88" s="968">
        <f>E25+E80</f>
        <v>9776</v>
      </c>
      <c r="F88" s="968">
        <f>F25+F80</f>
        <v>58216</v>
      </c>
      <c r="G88" s="968">
        <f>G25+G80</f>
        <v>67992</v>
      </c>
      <c r="H88" s="948"/>
      <c r="I88" s="948"/>
      <c r="J88" s="948"/>
      <c r="K88" s="948"/>
      <c r="L88" s="948"/>
    </row>
    <row r="89" spans="2:12" ht="24" x14ac:dyDescent="0.2">
      <c r="B89" s="754"/>
      <c r="C89" s="944" t="s">
        <v>1370</v>
      </c>
      <c r="D89" s="950" t="s">
        <v>1112</v>
      </c>
      <c r="E89" s="968">
        <f>E73+E84</f>
        <v>159089</v>
      </c>
      <c r="F89" s="968">
        <f t="shared" ref="F89:G89" si="6">F73+F84</f>
        <v>177206</v>
      </c>
      <c r="G89" s="968">
        <f t="shared" si="6"/>
        <v>336295</v>
      </c>
      <c r="H89" s="948"/>
      <c r="I89" s="948"/>
      <c r="J89" s="948"/>
      <c r="K89" s="948"/>
      <c r="L89" s="948"/>
    </row>
    <row r="90" spans="2:12" ht="12.75" thickBot="1" x14ac:dyDescent="0.25">
      <c r="B90" s="754"/>
      <c r="C90" s="756" t="s">
        <v>1371</v>
      </c>
      <c r="D90" s="984"/>
      <c r="E90" s="985"/>
      <c r="F90" s="985"/>
      <c r="G90" s="985"/>
      <c r="H90" s="971"/>
      <c r="I90" s="971"/>
      <c r="J90" s="971"/>
      <c r="K90" s="971"/>
      <c r="L90" s="971"/>
    </row>
    <row r="91" spans="2:12" ht="24.75" thickBot="1" x14ac:dyDescent="0.25">
      <c r="B91" s="754"/>
      <c r="C91" s="757" t="s">
        <v>1372</v>
      </c>
      <c r="D91" s="988" t="s">
        <v>1109</v>
      </c>
      <c r="E91" s="749">
        <f>E75+E86</f>
        <v>168865</v>
      </c>
      <c r="F91" s="749">
        <f>F75+F86</f>
        <v>235422</v>
      </c>
      <c r="G91" s="749">
        <f>G75+G86</f>
        <v>404287</v>
      </c>
      <c r="H91" s="977"/>
      <c r="I91" s="977"/>
      <c r="J91" s="977"/>
      <c r="K91" s="977"/>
      <c r="L91" s="978"/>
    </row>
    <row r="92" spans="2:12" x14ac:dyDescent="0.2">
      <c r="I92" s="694"/>
    </row>
  </sheetData>
  <sheetProtection selectLockedCells="1" selectUnlockedCells="1"/>
  <mergeCells count="9">
    <mergeCell ref="H7:I7"/>
    <mergeCell ref="J7:L7"/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8" scale="80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153"/>
  <sheetViews>
    <sheetView workbookViewId="0">
      <pane xSplit="3" ySplit="9" topLeftCell="D121" activePane="bottomRight" state="frozen"/>
      <selection activeCell="B65" sqref="B65"/>
      <selection pane="topRight" activeCell="B65" sqref="B65"/>
      <selection pane="bottomLeft" activeCell="B65" sqref="B65"/>
      <selection pane="bottomRight" activeCell="V150" sqref="V150"/>
    </sheetView>
  </sheetViews>
  <sheetFormatPr defaultColWidth="9.140625" defaultRowHeight="14.1" customHeight="1" x14ac:dyDescent="0.2"/>
  <cols>
    <col min="1" max="1" width="1.28515625" style="80" customWidth="1"/>
    <col min="2" max="2" width="3.7109375" style="237" customWidth="1"/>
    <col min="3" max="3" width="41.42578125" style="244" customWidth="1"/>
    <col min="4" max="4" width="9.85546875" style="81" customWidth="1"/>
    <col min="5" max="7" width="8.7109375" style="81" customWidth="1"/>
    <col min="8" max="10" width="7.85546875" style="81" customWidth="1"/>
    <col min="11" max="13" width="8.42578125" style="86" customWidth="1"/>
    <col min="14" max="16" width="9.85546875" style="91" customWidth="1"/>
    <col min="17" max="17" width="7.28515625" style="91" customWidth="1"/>
    <col min="18" max="16384" width="9.140625" style="80"/>
  </cols>
  <sheetData>
    <row r="1" spans="1:19" ht="12.75" customHeight="1" x14ac:dyDescent="0.2">
      <c r="B1" s="1492" t="s">
        <v>1387</v>
      </c>
      <c r="C1" s="1492"/>
      <c r="D1" s="1492"/>
      <c r="E1" s="1492"/>
      <c r="F1" s="1492"/>
      <c r="G1" s="1492"/>
      <c r="H1" s="1492"/>
      <c r="I1" s="1492"/>
      <c r="J1" s="1492"/>
      <c r="K1" s="1492"/>
      <c r="L1" s="1492"/>
      <c r="M1" s="1492"/>
      <c r="N1" s="1456"/>
      <c r="O1" s="1456"/>
      <c r="P1" s="1456"/>
      <c r="Q1" s="1456"/>
    </row>
    <row r="2" spans="1:19" ht="14.1" customHeight="1" x14ac:dyDescent="0.2">
      <c r="B2" s="1493" t="s">
        <v>77</v>
      </c>
      <c r="C2" s="1493"/>
      <c r="D2" s="1493"/>
      <c r="E2" s="1493"/>
      <c r="F2" s="1493"/>
      <c r="G2" s="1493"/>
      <c r="H2" s="1493"/>
      <c r="I2" s="1493"/>
      <c r="J2" s="1493"/>
      <c r="K2" s="1493"/>
      <c r="L2" s="1493"/>
      <c r="M2" s="1493"/>
      <c r="N2" s="1456"/>
      <c r="O2" s="1456"/>
      <c r="P2" s="1456"/>
      <c r="Q2" s="1456"/>
    </row>
    <row r="3" spans="1:19" ht="14.1" customHeight="1" x14ac:dyDescent="0.2">
      <c r="B3" s="245"/>
      <c r="C3" s="1502" t="s">
        <v>1156</v>
      </c>
      <c r="D3" s="1502"/>
      <c r="E3" s="1502"/>
      <c r="F3" s="1502"/>
      <c r="G3" s="1502"/>
      <c r="H3" s="1502"/>
      <c r="I3" s="1502"/>
      <c r="J3" s="1502"/>
      <c r="K3" s="1502"/>
      <c r="L3" s="1502"/>
      <c r="M3" s="1502"/>
      <c r="N3" s="1502"/>
      <c r="O3" s="1502"/>
      <c r="P3" s="1502"/>
      <c r="Q3" s="1502"/>
    </row>
    <row r="4" spans="1:19" ht="14.25" customHeight="1" thickBot="1" x14ac:dyDescent="0.25">
      <c r="B4" s="1494" t="s">
        <v>302</v>
      </c>
      <c r="C4" s="1494"/>
      <c r="D4" s="1494"/>
      <c r="E4" s="1494"/>
      <c r="F4" s="1494"/>
      <c r="G4" s="1494"/>
      <c r="H4" s="1494"/>
      <c r="I4" s="1494"/>
      <c r="J4" s="1494"/>
      <c r="K4" s="1494"/>
      <c r="L4" s="1494"/>
      <c r="M4" s="1494"/>
      <c r="N4" s="1495"/>
      <c r="O4" s="1495"/>
      <c r="P4" s="1495"/>
      <c r="Q4" s="1495"/>
    </row>
    <row r="5" spans="1:19" ht="24" customHeight="1" thickBot="1" x14ac:dyDescent="0.25">
      <c r="B5" s="1496" t="s">
        <v>469</v>
      </c>
      <c r="C5" s="242" t="s">
        <v>57</v>
      </c>
      <c r="D5" s="82" t="s">
        <v>58</v>
      </c>
      <c r="E5" s="1516" t="s">
        <v>59</v>
      </c>
      <c r="F5" s="1517"/>
      <c r="G5" s="1518"/>
      <c r="H5" s="1516" t="s">
        <v>60</v>
      </c>
      <c r="I5" s="1517"/>
      <c r="J5" s="1518"/>
      <c r="K5" s="1516" t="s">
        <v>470</v>
      </c>
      <c r="L5" s="1517"/>
      <c r="M5" s="1517"/>
      <c r="N5" s="1173" t="s">
        <v>471</v>
      </c>
      <c r="O5" s="1173"/>
      <c r="P5" s="1173"/>
      <c r="Q5" s="1514" t="s">
        <v>472</v>
      </c>
      <c r="R5" s="1514"/>
      <c r="S5" s="1515"/>
    </row>
    <row r="6" spans="1:19" ht="1.9" hidden="1" customHeight="1" thickBot="1" x14ac:dyDescent="0.25">
      <c r="B6" s="1496"/>
      <c r="C6" s="243"/>
      <c r="D6" s="107"/>
      <c r="E6" s="107"/>
      <c r="F6" s="107"/>
      <c r="G6" s="107"/>
      <c r="H6" s="107"/>
      <c r="I6" s="108"/>
      <c r="J6" s="108"/>
      <c r="K6" s="108"/>
      <c r="L6" s="1020"/>
      <c r="M6" s="1020"/>
      <c r="N6" s="1027"/>
      <c r="O6" s="1027"/>
      <c r="P6" s="1027"/>
      <c r="Q6" s="1027"/>
      <c r="R6" s="1028"/>
      <c r="S6" s="1174"/>
    </row>
    <row r="7" spans="1:19" s="190" customFormat="1" ht="23.25" customHeight="1" thickBot="1" x14ac:dyDescent="0.25">
      <c r="B7" s="1496"/>
      <c r="C7" s="243"/>
      <c r="D7" s="107"/>
      <c r="E7" s="1503" t="s">
        <v>315</v>
      </c>
      <c r="F7" s="1504"/>
      <c r="G7" s="1504"/>
      <c r="H7" s="1505"/>
      <c r="I7" s="1505"/>
      <c r="J7" s="1505"/>
      <c r="K7" s="1506"/>
      <c r="L7" s="1021"/>
      <c r="M7" s="1021"/>
      <c r="N7" s="1512" t="s">
        <v>1137</v>
      </c>
      <c r="O7" s="1512"/>
      <c r="P7" s="1512"/>
      <c r="Q7" s="1512"/>
      <c r="R7" s="1512"/>
      <c r="S7" s="1513"/>
    </row>
    <row r="8" spans="1:19" s="79" customFormat="1" ht="30.75" customHeight="1" thickBot="1" x14ac:dyDescent="0.25">
      <c r="B8" s="1496"/>
      <c r="C8" s="1497" t="s">
        <v>85</v>
      </c>
      <c r="D8" s="1497" t="s">
        <v>473</v>
      </c>
      <c r="E8" s="1507" t="s">
        <v>474</v>
      </c>
      <c r="F8" s="1508" t="s">
        <v>1401</v>
      </c>
      <c r="G8" s="1508" t="s">
        <v>1402</v>
      </c>
      <c r="H8" s="1507" t="s">
        <v>475</v>
      </c>
      <c r="I8" s="1508" t="s">
        <v>1404</v>
      </c>
      <c r="J8" s="1508" t="s">
        <v>1403</v>
      </c>
      <c r="K8" s="1499" t="s">
        <v>476</v>
      </c>
      <c r="L8" s="1520" t="s">
        <v>1405</v>
      </c>
      <c r="M8" s="1520" t="s">
        <v>1406</v>
      </c>
      <c r="N8" s="1498" t="s">
        <v>62</v>
      </c>
      <c r="O8" s="1519" t="s">
        <v>1407</v>
      </c>
      <c r="P8" s="1519" t="s">
        <v>1408</v>
      </c>
      <c r="Q8" s="1500" t="s">
        <v>63</v>
      </c>
      <c r="R8" s="1519" t="s">
        <v>1407</v>
      </c>
      <c r="S8" s="1510" t="s">
        <v>1409</v>
      </c>
    </row>
    <row r="9" spans="1:19" s="79" customFormat="1" ht="41.25" customHeight="1" thickBot="1" x14ac:dyDescent="0.25">
      <c r="B9" s="1496"/>
      <c r="C9" s="1497"/>
      <c r="D9" s="1497"/>
      <c r="E9" s="1507"/>
      <c r="F9" s="1509"/>
      <c r="G9" s="1509"/>
      <c r="H9" s="1507"/>
      <c r="I9" s="1509"/>
      <c r="J9" s="1509"/>
      <c r="K9" s="1499"/>
      <c r="L9" s="1509"/>
      <c r="M9" s="1509"/>
      <c r="N9" s="1499"/>
      <c r="O9" s="1509"/>
      <c r="P9" s="1509"/>
      <c r="Q9" s="1501"/>
      <c r="R9" s="1509"/>
      <c r="S9" s="1511"/>
    </row>
    <row r="10" spans="1:19" ht="14.1" customHeight="1" x14ac:dyDescent="0.2">
      <c r="A10" s="769"/>
      <c r="B10" s="763"/>
      <c r="C10" s="83" t="s">
        <v>77</v>
      </c>
      <c r="D10" s="84"/>
      <c r="E10" s="84"/>
      <c r="F10" s="84"/>
      <c r="G10" s="1135"/>
      <c r="H10" s="84"/>
      <c r="I10" s="84"/>
      <c r="J10" s="1135"/>
      <c r="K10" s="85"/>
      <c r="L10" s="85"/>
      <c r="M10" s="1157"/>
      <c r="P10" s="1148"/>
      <c r="Q10" s="434"/>
      <c r="R10" s="432"/>
    </row>
    <row r="11" spans="1:19" ht="14.1" customHeight="1" x14ac:dyDescent="0.2">
      <c r="A11" s="769"/>
      <c r="B11" s="764"/>
      <c r="C11" s="83"/>
      <c r="D11" s="84"/>
      <c r="E11" s="84"/>
      <c r="F11" s="84"/>
      <c r="G11" s="1136"/>
      <c r="H11" s="84"/>
      <c r="I11" s="84"/>
      <c r="J11" s="1136"/>
      <c r="K11" s="85"/>
      <c r="L11" s="85"/>
      <c r="M11" s="1158"/>
      <c r="P11" s="1149"/>
      <c r="Q11" s="435"/>
      <c r="R11" s="432"/>
    </row>
    <row r="12" spans="1:19" ht="14.1" customHeight="1" x14ac:dyDescent="0.2">
      <c r="A12" s="769"/>
      <c r="B12" s="765" t="s">
        <v>477</v>
      </c>
      <c r="C12" s="83" t="s">
        <v>478</v>
      </c>
      <c r="D12" s="84"/>
      <c r="E12" s="84"/>
      <c r="F12" s="84"/>
      <c r="G12" s="1137"/>
      <c r="H12" s="84"/>
      <c r="I12" s="84"/>
      <c r="J12" s="1136"/>
      <c r="K12" s="85"/>
      <c r="L12" s="85"/>
      <c r="M12" s="1158"/>
      <c r="P12" s="1149"/>
      <c r="Q12" s="435"/>
      <c r="R12" s="432"/>
    </row>
    <row r="13" spans="1:19" ht="18.75" customHeight="1" x14ac:dyDescent="0.2">
      <c r="A13" s="769"/>
      <c r="B13" s="1022" t="s">
        <v>479</v>
      </c>
      <c r="C13" s="1023" t="s">
        <v>1230</v>
      </c>
      <c r="D13" s="1024" t="s">
        <v>945</v>
      </c>
      <c r="E13" s="1025">
        <v>2363</v>
      </c>
      <c r="F13" s="1025"/>
      <c r="G13" s="1113"/>
      <c r="H13" s="1097">
        <v>637</v>
      </c>
      <c r="I13" s="1025"/>
      <c r="J13" s="1113"/>
      <c r="K13" s="1102">
        <f t="shared" ref="K13" si="0">E13+H13</f>
        <v>3000</v>
      </c>
      <c r="L13" s="1026"/>
      <c r="M13" s="1159"/>
      <c r="N13" s="1097">
        <f t="shared" ref="N13" si="1">K13</f>
        <v>3000</v>
      </c>
      <c r="O13" s="1025"/>
      <c r="P13" s="1113"/>
      <c r="Q13" s="1140"/>
      <c r="R13" s="1028"/>
      <c r="S13" s="1028"/>
    </row>
    <row r="14" spans="1:19" s="87" customFormat="1" ht="14.25" customHeight="1" x14ac:dyDescent="0.2">
      <c r="A14" s="770"/>
      <c r="B14" s="1022" t="s">
        <v>487</v>
      </c>
      <c r="C14" s="1029" t="s">
        <v>1243</v>
      </c>
      <c r="D14" s="1030" t="s">
        <v>480</v>
      </c>
      <c r="E14" s="1025">
        <v>12000</v>
      </c>
      <c r="F14" s="1025"/>
      <c r="G14" s="1113"/>
      <c r="H14" s="1097">
        <v>3240</v>
      </c>
      <c r="I14" s="1025"/>
      <c r="J14" s="1113"/>
      <c r="K14" s="1102">
        <f>E14+H14</f>
        <v>15240</v>
      </c>
      <c r="L14" s="1026"/>
      <c r="M14" s="1159"/>
      <c r="N14" s="1101"/>
      <c r="O14" s="1031"/>
      <c r="P14" s="1117"/>
      <c r="Q14" s="1101">
        <f>K14</f>
        <v>15240</v>
      </c>
      <c r="R14" s="1032"/>
      <c r="S14" s="1032"/>
    </row>
    <row r="15" spans="1:19" s="87" customFormat="1" ht="16.5" customHeight="1" x14ac:dyDescent="0.2">
      <c r="A15" s="770"/>
      <c r="B15" s="1022" t="s">
        <v>488</v>
      </c>
      <c r="C15" s="1029" t="s">
        <v>1281</v>
      </c>
      <c r="D15" s="1024" t="s">
        <v>945</v>
      </c>
      <c r="E15" s="1025">
        <v>14540</v>
      </c>
      <c r="F15" s="1025"/>
      <c r="G15" s="1113"/>
      <c r="H15" s="1097">
        <v>3926</v>
      </c>
      <c r="I15" s="1025"/>
      <c r="J15" s="1113"/>
      <c r="K15" s="1102">
        <f>SUM(E15:H15)</f>
        <v>18466</v>
      </c>
      <c r="L15" s="1026"/>
      <c r="M15" s="1159"/>
      <c r="N15" s="1101"/>
      <c r="O15" s="1031"/>
      <c r="P15" s="1117"/>
      <c r="Q15" s="1101">
        <f>K15</f>
        <v>18466</v>
      </c>
      <c r="R15" s="1032"/>
      <c r="S15" s="1032"/>
    </row>
    <row r="16" spans="1:19" s="87" customFormat="1" ht="16.5" customHeight="1" x14ac:dyDescent="0.2">
      <c r="A16" s="770"/>
      <c r="B16" s="1022" t="s">
        <v>489</v>
      </c>
      <c r="C16" s="1029" t="s">
        <v>1306</v>
      </c>
      <c r="D16" s="1024" t="s">
        <v>945</v>
      </c>
      <c r="E16" s="1025">
        <v>276</v>
      </c>
      <c r="F16" s="1025"/>
      <c r="G16" s="1113"/>
      <c r="H16" s="1097">
        <v>75</v>
      </c>
      <c r="I16" s="1025"/>
      <c r="J16" s="1113"/>
      <c r="K16" s="1102">
        <f>SUM(E16:H16)</f>
        <v>351</v>
      </c>
      <c r="L16" s="1026"/>
      <c r="M16" s="1159"/>
      <c r="N16" s="1101">
        <f>K16</f>
        <v>351</v>
      </c>
      <c r="O16" s="1031"/>
      <c r="P16" s="1117"/>
      <c r="Q16" s="1101"/>
      <c r="R16" s="1032"/>
      <c r="S16" s="1032"/>
    </row>
    <row r="17" spans="1:22" s="87" customFormat="1" ht="16.5" customHeight="1" x14ac:dyDescent="0.2">
      <c r="A17" s="770"/>
      <c r="B17" s="1022"/>
      <c r="C17" s="1029"/>
      <c r="D17" s="1024"/>
      <c r="E17" s="1025"/>
      <c r="F17" s="1025"/>
      <c r="G17" s="1113"/>
      <c r="H17" s="1097"/>
      <c r="I17" s="1025"/>
      <c r="J17" s="1113"/>
      <c r="K17" s="1102"/>
      <c r="L17" s="1026"/>
      <c r="M17" s="1159"/>
      <c r="N17" s="1101"/>
      <c r="O17" s="1031"/>
      <c r="P17" s="1117"/>
      <c r="Q17" s="1101"/>
      <c r="R17" s="1032"/>
      <c r="S17" s="1032"/>
    </row>
    <row r="18" spans="1:22" s="87" customFormat="1" ht="10.5" customHeight="1" thickBot="1" x14ac:dyDescent="0.25">
      <c r="A18" s="770"/>
      <c r="B18" s="1078"/>
      <c r="C18" s="1079"/>
      <c r="D18" s="1080"/>
      <c r="E18" s="1081"/>
      <c r="F18" s="1081"/>
      <c r="G18" s="1114"/>
      <c r="H18" s="1098"/>
      <c r="I18" s="1081"/>
      <c r="J18" s="1114"/>
      <c r="K18" s="1129"/>
      <c r="L18" s="1082"/>
      <c r="M18" s="1160"/>
      <c r="N18" s="1138"/>
      <c r="O18" s="1083"/>
      <c r="P18" s="1150"/>
      <c r="Q18" s="1138"/>
      <c r="R18" s="1084"/>
      <c r="S18" s="1084"/>
    </row>
    <row r="19" spans="1:22" s="87" customFormat="1" ht="15" customHeight="1" thickBot="1" x14ac:dyDescent="0.25">
      <c r="A19" s="1077"/>
      <c r="B19" s="1091"/>
      <c r="C19" s="1092" t="s">
        <v>481</v>
      </c>
      <c r="D19" s="1093"/>
      <c r="E19" s="1094">
        <f t="shared" ref="E19:K19" si="2">SUM(E13:E16)</f>
        <v>29179</v>
      </c>
      <c r="F19" s="1094"/>
      <c r="G19" s="1115"/>
      <c r="H19" s="1099">
        <f t="shared" si="2"/>
        <v>7878</v>
      </c>
      <c r="I19" s="1094"/>
      <c r="J19" s="1115"/>
      <c r="K19" s="1099">
        <f t="shared" si="2"/>
        <v>37057</v>
      </c>
      <c r="L19" s="1094"/>
      <c r="M19" s="1161"/>
      <c r="N19" s="1099">
        <f>SUM(N13:N16)</f>
        <v>3351</v>
      </c>
      <c r="O19" s="1094"/>
      <c r="P19" s="1115"/>
      <c r="Q19" s="1099">
        <f>SUM(Q13:Q16)</f>
        <v>33706</v>
      </c>
      <c r="R19" s="1095"/>
      <c r="S19" s="1096"/>
    </row>
    <row r="20" spans="1:22" ht="14.1" customHeight="1" x14ac:dyDescent="0.2">
      <c r="A20" s="769"/>
      <c r="B20" s="1085"/>
      <c r="C20" s="1086"/>
      <c r="D20" s="1087"/>
      <c r="E20" s="1087"/>
      <c r="F20" s="1087"/>
      <c r="G20" s="1116"/>
      <c r="H20" s="1100"/>
      <c r="I20" s="1087"/>
      <c r="J20" s="1116"/>
      <c r="K20" s="1130"/>
      <c r="L20" s="1088"/>
      <c r="M20" s="1162"/>
      <c r="N20" s="1139"/>
      <c r="O20" s="1089"/>
      <c r="P20" s="1151"/>
      <c r="Q20" s="1139"/>
      <c r="R20" s="1090"/>
      <c r="S20" s="1090"/>
    </row>
    <row r="21" spans="1:22" ht="15" customHeight="1" x14ac:dyDescent="0.2">
      <c r="A21" s="769"/>
      <c r="B21" s="1036" t="s">
        <v>482</v>
      </c>
      <c r="C21" s="1037" t="s">
        <v>483</v>
      </c>
      <c r="D21" s="1031"/>
      <c r="E21" s="1031"/>
      <c r="F21" s="1031"/>
      <c r="G21" s="1117"/>
      <c r="H21" s="1101"/>
      <c r="I21" s="1031"/>
      <c r="J21" s="1117"/>
      <c r="K21" s="1105"/>
      <c r="L21" s="1034"/>
      <c r="M21" s="1163"/>
      <c r="N21" s="1140"/>
      <c r="O21" s="1027"/>
      <c r="P21" s="1152"/>
      <c r="Q21" s="1140"/>
      <c r="R21" s="1028"/>
      <c r="S21" s="1028"/>
    </row>
    <row r="22" spans="1:22" ht="15" customHeight="1" x14ac:dyDescent="0.2">
      <c r="A22" s="769"/>
      <c r="B22" s="1038" t="s">
        <v>479</v>
      </c>
      <c r="C22" s="1023" t="s">
        <v>1307</v>
      </c>
      <c r="D22" s="1024" t="s">
        <v>945</v>
      </c>
      <c r="E22" s="1031">
        <v>0</v>
      </c>
      <c r="F22" s="1031"/>
      <c r="G22" s="1117"/>
      <c r="H22" s="1101">
        <v>0</v>
      </c>
      <c r="I22" s="1031"/>
      <c r="J22" s="1117"/>
      <c r="K22" s="1105">
        <f>E22+H22</f>
        <v>0</v>
      </c>
      <c r="L22" s="1034"/>
      <c r="M22" s="1163"/>
      <c r="N22" s="1140"/>
      <c r="O22" s="1027"/>
      <c r="P22" s="1152"/>
      <c r="Q22" s="1097">
        <f>K22</f>
        <v>0</v>
      </c>
      <c r="R22" s="1028"/>
      <c r="S22" s="1028"/>
    </row>
    <row r="23" spans="1:22" ht="24.75" customHeight="1" x14ac:dyDescent="0.2">
      <c r="A23" s="769"/>
      <c r="B23" s="1038" t="s">
        <v>487</v>
      </c>
      <c r="C23" s="1023" t="s">
        <v>1308</v>
      </c>
      <c r="D23" s="1024" t="s">
        <v>945</v>
      </c>
      <c r="E23" s="1031">
        <v>30709</v>
      </c>
      <c r="F23" s="1031"/>
      <c r="G23" s="1117"/>
      <c r="H23" s="1101">
        <v>8291</v>
      </c>
      <c r="I23" s="1031"/>
      <c r="J23" s="1117"/>
      <c r="K23" s="1105">
        <f t="shared" ref="K23:K25" si="3">E23+H23</f>
        <v>39000</v>
      </c>
      <c r="L23" s="1034"/>
      <c r="M23" s="1163"/>
      <c r="N23" s="1097">
        <f>K23</f>
        <v>39000</v>
      </c>
      <c r="O23" s="1025"/>
      <c r="P23" s="1113"/>
      <c r="Q23" s="1140"/>
      <c r="R23" s="1028"/>
      <c r="S23" s="1028"/>
      <c r="T23" s="750"/>
    </row>
    <row r="24" spans="1:22" ht="15" customHeight="1" x14ac:dyDescent="0.2">
      <c r="A24" s="769"/>
      <c r="B24" s="1038" t="s">
        <v>488</v>
      </c>
      <c r="C24" s="1023" t="s">
        <v>1309</v>
      </c>
      <c r="D24" s="1031"/>
      <c r="E24" s="1031">
        <v>4500</v>
      </c>
      <c r="F24" s="1031"/>
      <c r="G24" s="1117"/>
      <c r="H24" s="1101">
        <v>1215</v>
      </c>
      <c r="I24" s="1031"/>
      <c r="J24" s="1117"/>
      <c r="K24" s="1105">
        <f t="shared" si="3"/>
        <v>5715</v>
      </c>
      <c r="L24" s="1034"/>
      <c r="M24" s="1163"/>
      <c r="N24" s="1141">
        <f>K24</f>
        <v>5715</v>
      </c>
      <c r="O24" s="1039"/>
      <c r="P24" s="1153"/>
      <c r="Q24" s="1141"/>
      <c r="R24" s="1028"/>
      <c r="S24" s="1028"/>
    </row>
    <row r="25" spans="1:22" ht="24.75" customHeight="1" x14ac:dyDescent="0.2">
      <c r="A25" s="769"/>
      <c r="B25" s="1038" t="s">
        <v>489</v>
      </c>
      <c r="C25" s="1023" t="s">
        <v>1310</v>
      </c>
      <c r="D25" s="1024" t="s">
        <v>945</v>
      </c>
      <c r="E25" s="1031">
        <v>3937</v>
      </c>
      <c r="F25" s="1031"/>
      <c r="G25" s="1117"/>
      <c r="H25" s="1101">
        <v>1063</v>
      </c>
      <c r="I25" s="1031"/>
      <c r="J25" s="1117"/>
      <c r="K25" s="1105">
        <f t="shared" si="3"/>
        <v>5000</v>
      </c>
      <c r="L25" s="1034"/>
      <c r="M25" s="1163"/>
      <c r="N25" s="1141">
        <f>K25</f>
        <v>5000</v>
      </c>
      <c r="O25" s="1039"/>
      <c r="P25" s="1153"/>
      <c r="Q25" s="1141"/>
      <c r="R25" s="1028"/>
      <c r="S25" s="1028"/>
    </row>
    <row r="26" spans="1:22" ht="15" customHeight="1" x14ac:dyDescent="0.2">
      <c r="A26" s="769"/>
      <c r="B26" s="1038"/>
      <c r="C26" s="1023"/>
      <c r="D26" s="1024"/>
      <c r="E26" s="1031"/>
      <c r="F26" s="1031"/>
      <c r="G26" s="1117"/>
      <c r="H26" s="1101"/>
      <c r="I26" s="1031"/>
      <c r="J26" s="1117"/>
      <c r="K26" s="1105"/>
      <c r="L26" s="1034"/>
      <c r="M26" s="1163"/>
      <c r="N26" s="1141"/>
      <c r="O26" s="1039"/>
      <c r="P26" s="1153"/>
      <c r="Q26" s="1141"/>
      <c r="R26" s="1028"/>
      <c r="S26" s="1028"/>
    </row>
    <row r="27" spans="1:22" ht="13.5" customHeight="1" x14ac:dyDescent="0.2">
      <c r="A27" s="769"/>
      <c r="B27" s="1038"/>
      <c r="C27" s="1023"/>
      <c r="D27" s="1031"/>
      <c r="E27" s="1025"/>
      <c r="F27" s="1025"/>
      <c r="G27" s="1113"/>
      <c r="H27" s="1097"/>
      <c r="I27" s="1025"/>
      <c r="J27" s="1113"/>
      <c r="K27" s="1102"/>
      <c r="L27" s="1026"/>
      <c r="M27" s="1159"/>
      <c r="N27" s="1097"/>
      <c r="O27" s="1025"/>
      <c r="P27" s="1113"/>
      <c r="Q27" s="1097"/>
      <c r="R27" s="1040"/>
      <c r="S27" s="1028"/>
    </row>
    <row r="28" spans="1:22" ht="12" customHeight="1" x14ac:dyDescent="0.2">
      <c r="A28" s="769"/>
      <c r="B28" s="1036"/>
      <c r="C28" s="1037" t="s">
        <v>484</v>
      </c>
      <c r="D28" s="1034"/>
      <c r="E28" s="1026">
        <f>SUM(E22:E25)</f>
        <v>39146</v>
      </c>
      <c r="F28" s="1026"/>
      <c r="G28" s="1118"/>
      <c r="H28" s="1102">
        <f t="shared" ref="H28:Q28" si="4">SUM(H22:H25)</f>
        <v>10569</v>
      </c>
      <c r="I28" s="1026"/>
      <c r="J28" s="1118"/>
      <c r="K28" s="1102">
        <f t="shared" si="4"/>
        <v>49715</v>
      </c>
      <c r="L28" s="1026"/>
      <c r="M28" s="1159"/>
      <c r="N28" s="1102">
        <f t="shared" si="4"/>
        <v>49715</v>
      </c>
      <c r="O28" s="1026"/>
      <c r="P28" s="1118"/>
      <c r="Q28" s="1102">
        <f t="shared" si="4"/>
        <v>0</v>
      </c>
      <c r="R28" s="1028"/>
      <c r="S28" s="1028"/>
    </row>
    <row r="29" spans="1:22" ht="12" customHeight="1" x14ac:dyDescent="0.2">
      <c r="A29" s="769"/>
      <c r="B29" s="1036"/>
      <c r="C29" s="1041"/>
      <c r="D29" s="1031"/>
      <c r="E29" s="1031"/>
      <c r="F29" s="1031"/>
      <c r="G29" s="1117"/>
      <c r="H29" s="1101"/>
      <c r="I29" s="1031"/>
      <c r="J29" s="1117"/>
      <c r="K29" s="1105"/>
      <c r="L29" s="1034"/>
      <c r="M29" s="1163"/>
      <c r="N29" s="1140"/>
      <c r="O29" s="1027"/>
      <c r="P29" s="1152"/>
      <c r="Q29" s="1140"/>
      <c r="R29" s="1028"/>
      <c r="S29" s="1028"/>
    </row>
    <row r="30" spans="1:22" ht="15.75" customHeight="1" thickBot="1" x14ac:dyDescent="0.25">
      <c r="A30" s="769"/>
      <c r="B30" s="1042" t="s">
        <v>485</v>
      </c>
      <c r="C30" s="1043" t="s">
        <v>486</v>
      </c>
      <c r="D30" s="1044"/>
      <c r="E30" s="1031"/>
      <c r="F30" s="1031"/>
      <c r="G30" s="1117"/>
      <c r="H30" s="1101"/>
      <c r="I30" s="1031"/>
      <c r="J30" s="1117"/>
      <c r="K30" s="1105"/>
      <c r="L30" s="1034"/>
      <c r="M30" s="1163"/>
      <c r="N30" s="1140"/>
      <c r="O30" s="1027"/>
      <c r="P30" s="1152"/>
      <c r="Q30" s="1140"/>
      <c r="R30" s="1028"/>
      <c r="S30" s="1028"/>
    </row>
    <row r="31" spans="1:22" s="87" customFormat="1" ht="19.5" customHeight="1" thickBot="1" x14ac:dyDescent="0.25">
      <c r="A31" s="770"/>
      <c r="B31" s="1045" t="s">
        <v>1231</v>
      </c>
      <c r="C31" s="1046" t="s">
        <v>977</v>
      </c>
      <c r="D31" s="1030" t="s">
        <v>480</v>
      </c>
      <c r="E31" s="1024">
        <v>9213</v>
      </c>
      <c r="F31" s="1024"/>
      <c r="G31" s="1119"/>
      <c r="H31" s="1103">
        <v>2488</v>
      </c>
      <c r="I31" s="1024"/>
      <c r="J31" s="1119"/>
      <c r="K31" s="1111">
        <f>E31+H31</f>
        <v>11701</v>
      </c>
      <c r="L31" s="1047"/>
      <c r="M31" s="1164"/>
      <c r="N31" s="1103">
        <f t="shared" ref="N31:N35" si="5">K31</f>
        <v>11701</v>
      </c>
      <c r="O31" s="1024"/>
      <c r="P31" s="1119"/>
      <c r="Q31" s="1097"/>
      <c r="R31" s="1032"/>
      <c r="S31" s="1032"/>
      <c r="V31" s="1172"/>
    </row>
    <row r="32" spans="1:22" s="87" customFormat="1" ht="24.75" customHeight="1" x14ac:dyDescent="0.2">
      <c r="A32" s="770"/>
      <c r="B32" s="1045" t="s">
        <v>1232</v>
      </c>
      <c r="C32" s="1046" t="s">
        <v>1053</v>
      </c>
      <c r="D32" s="1024" t="s">
        <v>945</v>
      </c>
      <c r="E32" s="1024">
        <v>24980</v>
      </c>
      <c r="F32" s="1024"/>
      <c r="G32" s="1119"/>
      <c r="H32" s="1103">
        <v>6745</v>
      </c>
      <c r="I32" s="1024"/>
      <c r="J32" s="1119"/>
      <c r="K32" s="1111">
        <f>SUM(E32:H32)</f>
        <v>31725</v>
      </c>
      <c r="L32" s="1047"/>
      <c r="M32" s="1164"/>
      <c r="N32" s="1103">
        <f t="shared" si="5"/>
        <v>31725</v>
      </c>
      <c r="O32" s="1024"/>
      <c r="P32" s="1119"/>
      <c r="Q32" s="1097"/>
      <c r="R32" s="1032"/>
      <c r="S32" s="1032"/>
    </row>
    <row r="33" spans="1:21" s="87" customFormat="1" ht="23.25" customHeight="1" x14ac:dyDescent="0.2">
      <c r="A33" s="770"/>
      <c r="B33" s="1045" t="s">
        <v>487</v>
      </c>
      <c r="C33" s="1046" t="s">
        <v>1311</v>
      </c>
      <c r="D33" s="1030" t="s">
        <v>480</v>
      </c>
      <c r="E33" s="1024">
        <v>21871</v>
      </c>
      <c r="F33" s="1024"/>
      <c r="G33" s="1119"/>
      <c r="H33" s="1103">
        <v>5905</v>
      </c>
      <c r="I33" s="1024"/>
      <c r="J33" s="1119"/>
      <c r="K33" s="1111">
        <f t="shared" ref="K33:K45" si="6">E33+H33</f>
        <v>27776</v>
      </c>
      <c r="L33" s="1047"/>
      <c r="M33" s="1164"/>
      <c r="N33" s="1103">
        <f t="shared" si="5"/>
        <v>27776</v>
      </c>
      <c r="O33" s="1024"/>
      <c r="P33" s="1119"/>
      <c r="Q33" s="1103"/>
      <c r="R33" s="1032"/>
      <c r="S33" s="1032"/>
    </row>
    <row r="34" spans="1:21" s="87" customFormat="1" ht="24.75" customHeight="1" x14ac:dyDescent="0.2">
      <c r="A34" s="770"/>
      <c r="B34" s="1045" t="s">
        <v>488</v>
      </c>
      <c r="C34" s="1046" t="s">
        <v>957</v>
      </c>
      <c r="D34" s="1030" t="s">
        <v>480</v>
      </c>
      <c r="E34" s="1024">
        <f>23622-15748</f>
        <v>7874</v>
      </c>
      <c r="F34" s="1024"/>
      <c r="G34" s="1119"/>
      <c r="H34" s="1103">
        <f>6378-4252</f>
        <v>2126</v>
      </c>
      <c r="I34" s="1024"/>
      <c r="J34" s="1119"/>
      <c r="K34" s="1111">
        <f t="shared" si="6"/>
        <v>10000</v>
      </c>
      <c r="L34" s="1047"/>
      <c r="M34" s="1164"/>
      <c r="N34" s="1103">
        <f t="shared" si="5"/>
        <v>10000</v>
      </c>
      <c r="O34" s="1024"/>
      <c r="P34" s="1119"/>
      <c r="Q34" s="1097"/>
      <c r="R34" s="1032"/>
      <c r="S34" s="1032"/>
    </row>
    <row r="35" spans="1:21" s="87" customFormat="1" ht="36.75" customHeight="1" x14ac:dyDescent="0.2">
      <c r="A35" s="770"/>
      <c r="B35" s="1045" t="s">
        <v>489</v>
      </c>
      <c r="C35" s="1029" t="s">
        <v>1347</v>
      </c>
      <c r="D35" s="1030" t="s">
        <v>480</v>
      </c>
      <c r="E35" s="1048">
        <v>211019</v>
      </c>
      <c r="F35" s="1048"/>
      <c r="G35" s="1120"/>
      <c r="H35" s="1104">
        <v>3525</v>
      </c>
      <c r="I35" s="1048"/>
      <c r="J35" s="1120"/>
      <c r="K35" s="1131">
        <f t="shared" si="6"/>
        <v>214544</v>
      </c>
      <c r="L35" s="1049"/>
      <c r="M35" s="1165"/>
      <c r="N35" s="1104">
        <f t="shared" si="5"/>
        <v>214544</v>
      </c>
      <c r="O35" s="1048"/>
      <c r="P35" s="1120"/>
      <c r="Q35" s="1097"/>
      <c r="R35" s="1032"/>
      <c r="S35" s="1032"/>
    </row>
    <row r="36" spans="1:21" s="87" customFormat="1" ht="27" customHeight="1" x14ac:dyDescent="0.2">
      <c r="A36" s="770"/>
      <c r="B36" s="1045" t="s">
        <v>490</v>
      </c>
      <c r="C36" s="1050" t="s">
        <v>1312</v>
      </c>
      <c r="D36" s="1030" t="s">
        <v>480</v>
      </c>
      <c r="E36" s="1024">
        <v>10000</v>
      </c>
      <c r="F36" s="1024"/>
      <c r="G36" s="1119"/>
      <c r="H36" s="1103">
        <v>2700</v>
      </c>
      <c r="I36" s="1024"/>
      <c r="J36" s="1119"/>
      <c r="K36" s="1111">
        <f t="shared" si="6"/>
        <v>12700</v>
      </c>
      <c r="L36" s="1047"/>
      <c r="M36" s="1164"/>
      <c r="N36" s="1103"/>
      <c r="O36" s="1024"/>
      <c r="P36" s="1119"/>
      <c r="Q36" s="1103">
        <f>K36</f>
        <v>12700</v>
      </c>
      <c r="R36" s="1032"/>
      <c r="S36" s="1032"/>
    </row>
    <row r="37" spans="1:21" s="87" customFormat="1" ht="36.75" customHeight="1" x14ac:dyDescent="0.2">
      <c r="A37" s="770"/>
      <c r="B37" s="1045" t="s">
        <v>1233</v>
      </c>
      <c r="C37" s="1051" t="s">
        <v>1038</v>
      </c>
      <c r="D37" s="1024" t="s">
        <v>480</v>
      </c>
      <c r="E37" s="1024">
        <v>145378</v>
      </c>
      <c r="F37" s="1024"/>
      <c r="G37" s="1119"/>
      <c r="H37" s="1103">
        <v>39252</v>
      </c>
      <c r="I37" s="1024"/>
      <c r="J37" s="1119"/>
      <c r="K37" s="1111">
        <f t="shared" si="6"/>
        <v>184630</v>
      </c>
      <c r="L37" s="1047"/>
      <c r="M37" s="1164"/>
      <c r="N37" s="1103">
        <f>K37</f>
        <v>184630</v>
      </c>
      <c r="O37" s="1024"/>
      <c r="P37" s="1119"/>
      <c r="Q37" s="1103"/>
      <c r="R37" s="1052"/>
      <c r="S37" s="1052"/>
      <c r="T37" s="618"/>
      <c r="U37" s="618"/>
    </row>
    <row r="38" spans="1:21" s="87" customFormat="1" ht="27" customHeight="1" x14ac:dyDescent="0.2">
      <c r="A38" s="770"/>
      <c r="B38" s="1045" t="s">
        <v>1234</v>
      </c>
      <c r="C38" s="1050" t="s">
        <v>1084</v>
      </c>
      <c r="D38" s="1030"/>
      <c r="E38" s="1024">
        <v>118110</v>
      </c>
      <c r="F38" s="1024"/>
      <c r="G38" s="1119"/>
      <c r="H38" s="1103">
        <v>31890</v>
      </c>
      <c r="I38" s="1024"/>
      <c r="J38" s="1119"/>
      <c r="K38" s="1111">
        <f t="shared" si="6"/>
        <v>150000</v>
      </c>
      <c r="L38" s="1047"/>
      <c r="M38" s="1164"/>
      <c r="N38" s="1103">
        <f>K38</f>
        <v>150000</v>
      </c>
      <c r="O38" s="1024"/>
      <c r="P38" s="1119"/>
      <c r="Q38" s="1103"/>
      <c r="R38" s="1032"/>
      <c r="S38" s="1032"/>
    </row>
    <row r="39" spans="1:21" s="87" customFormat="1" ht="27" customHeight="1" x14ac:dyDescent="0.2">
      <c r="A39" s="770"/>
      <c r="B39" s="1045" t="s">
        <v>1382</v>
      </c>
      <c r="C39" s="1050" t="s">
        <v>1383</v>
      </c>
      <c r="D39" s="1030"/>
      <c r="E39" s="1024">
        <v>13000</v>
      </c>
      <c r="F39" s="1024"/>
      <c r="G39" s="1119"/>
      <c r="H39" s="1103">
        <v>3510</v>
      </c>
      <c r="I39" s="1024"/>
      <c r="J39" s="1119"/>
      <c r="K39" s="1111">
        <f t="shared" si="6"/>
        <v>16510</v>
      </c>
      <c r="L39" s="1047"/>
      <c r="M39" s="1164"/>
      <c r="N39" s="1103">
        <f>K39</f>
        <v>16510</v>
      </c>
      <c r="O39" s="1024"/>
      <c r="P39" s="1119"/>
      <c r="Q39" s="1103"/>
      <c r="R39" s="1032"/>
      <c r="S39" s="1032"/>
    </row>
    <row r="40" spans="1:21" s="87" customFormat="1" ht="26.25" customHeight="1" x14ac:dyDescent="0.2">
      <c r="A40" s="770"/>
      <c r="B40" s="1045" t="s">
        <v>492</v>
      </c>
      <c r="C40" s="1050" t="s">
        <v>1031</v>
      </c>
      <c r="D40" s="1030" t="s">
        <v>480</v>
      </c>
      <c r="E40" s="1024">
        <v>0</v>
      </c>
      <c r="F40" s="1024"/>
      <c r="G40" s="1119"/>
      <c r="H40" s="1103">
        <v>0</v>
      </c>
      <c r="I40" s="1024"/>
      <c r="J40" s="1119"/>
      <c r="K40" s="1111">
        <f t="shared" ref="K40" si="7">E40+H40</f>
        <v>0</v>
      </c>
      <c r="L40" s="1047"/>
      <c r="M40" s="1164"/>
      <c r="N40" s="1103">
        <f t="shared" ref="N40" si="8">K40</f>
        <v>0</v>
      </c>
      <c r="O40" s="1024"/>
      <c r="P40" s="1119"/>
      <c r="Q40" s="1103"/>
      <c r="R40" s="1032"/>
      <c r="S40" s="1032"/>
    </row>
    <row r="41" spans="1:21" s="87" customFormat="1" ht="21.75" customHeight="1" x14ac:dyDescent="0.2">
      <c r="A41" s="770"/>
      <c r="B41" s="1045" t="s">
        <v>493</v>
      </c>
      <c r="C41" s="1050" t="s">
        <v>946</v>
      </c>
      <c r="D41" s="1030" t="s">
        <v>480</v>
      </c>
      <c r="E41" s="1024">
        <v>12367</v>
      </c>
      <c r="F41" s="1024"/>
      <c r="G41" s="1119"/>
      <c r="H41" s="1103">
        <v>3339</v>
      </c>
      <c r="I41" s="1024"/>
      <c r="J41" s="1119"/>
      <c r="K41" s="1111">
        <f t="shared" si="6"/>
        <v>15706</v>
      </c>
      <c r="L41" s="1047"/>
      <c r="M41" s="1164"/>
      <c r="N41" s="1103">
        <f t="shared" ref="N41" si="9">K41</f>
        <v>15706</v>
      </c>
      <c r="O41" s="1024"/>
      <c r="P41" s="1119"/>
      <c r="Q41" s="1103"/>
      <c r="R41" s="1040"/>
      <c r="S41" s="1032"/>
    </row>
    <row r="42" spans="1:21" s="87" customFormat="1" ht="21.75" customHeight="1" x14ac:dyDescent="0.2">
      <c r="A42" s="770"/>
      <c r="B42" s="1053" t="s">
        <v>1282</v>
      </c>
      <c r="C42" s="1050" t="s">
        <v>976</v>
      </c>
      <c r="D42" s="1030" t="s">
        <v>480</v>
      </c>
      <c r="E42" s="1024">
        <v>0</v>
      </c>
      <c r="F42" s="1024"/>
      <c r="G42" s="1119"/>
      <c r="H42" s="1103">
        <v>0</v>
      </c>
      <c r="I42" s="1024"/>
      <c r="J42" s="1119"/>
      <c r="K42" s="1111">
        <f t="shared" si="6"/>
        <v>0</v>
      </c>
      <c r="L42" s="1047"/>
      <c r="M42" s="1164"/>
      <c r="N42" s="1103"/>
      <c r="O42" s="1024"/>
      <c r="P42" s="1119"/>
      <c r="Q42" s="1103">
        <f>K42</f>
        <v>0</v>
      </c>
      <c r="R42" s="1040"/>
      <c r="S42" s="1032"/>
    </row>
    <row r="43" spans="1:21" s="87" customFormat="1" ht="27" customHeight="1" x14ac:dyDescent="0.2">
      <c r="A43" s="770"/>
      <c r="B43" s="1053" t="s">
        <v>1283</v>
      </c>
      <c r="C43" s="1050" t="s">
        <v>1082</v>
      </c>
      <c r="D43" s="1024" t="s">
        <v>945</v>
      </c>
      <c r="E43" s="1024">
        <v>69000</v>
      </c>
      <c r="F43" s="1024"/>
      <c r="G43" s="1119"/>
      <c r="H43" s="1103">
        <v>0</v>
      </c>
      <c r="I43" s="1024"/>
      <c r="J43" s="1119"/>
      <c r="K43" s="1111">
        <f t="shared" si="6"/>
        <v>69000</v>
      </c>
      <c r="L43" s="1047"/>
      <c r="M43" s="1164"/>
      <c r="N43" s="1103"/>
      <c r="O43" s="1024"/>
      <c r="P43" s="1119"/>
      <c r="Q43" s="1103">
        <f>K43</f>
        <v>69000</v>
      </c>
      <c r="R43" s="1040"/>
      <c r="S43" s="1032"/>
    </row>
    <row r="44" spans="1:21" s="87" customFormat="1" ht="26.25" customHeight="1" x14ac:dyDescent="0.2">
      <c r="A44" s="770"/>
      <c r="B44" s="1053" t="s">
        <v>1314</v>
      </c>
      <c r="C44" s="1050" t="s">
        <v>1333</v>
      </c>
      <c r="D44" s="1030" t="s">
        <v>480</v>
      </c>
      <c r="E44" s="1024">
        <v>77153</v>
      </c>
      <c r="F44" s="1024"/>
      <c r="G44" s="1119"/>
      <c r="H44" s="1103">
        <v>20832</v>
      </c>
      <c r="I44" s="1024"/>
      <c r="J44" s="1119"/>
      <c r="K44" s="1111">
        <f t="shared" si="6"/>
        <v>97985</v>
      </c>
      <c r="L44" s="1047"/>
      <c r="M44" s="1164"/>
      <c r="N44" s="1103">
        <f t="shared" ref="N44:N49" si="10">K44</f>
        <v>97985</v>
      </c>
      <c r="O44" s="1024"/>
      <c r="P44" s="1119"/>
      <c r="Q44" s="1103"/>
      <c r="R44" s="1040"/>
      <c r="S44" s="1032"/>
    </row>
    <row r="45" spans="1:21" s="87" customFormat="1" ht="39.75" customHeight="1" x14ac:dyDescent="0.2">
      <c r="A45" s="770"/>
      <c r="B45" s="1053" t="s">
        <v>1315</v>
      </c>
      <c r="C45" s="1050" t="s">
        <v>1316</v>
      </c>
      <c r="D45" s="1024" t="s">
        <v>945</v>
      </c>
      <c r="E45" s="1024">
        <v>17395</v>
      </c>
      <c r="F45" s="1024"/>
      <c r="G45" s="1119"/>
      <c r="H45" s="1103">
        <v>4697</v>
      </c>
      <c r="I45" s="1024"/>
      <c r="J45" s="1119"/>
      <c r="K45" s="1111">
        <f t="shared" si="6"/>
        <v>22092</v>
      </c>
      <c r="L45" s="1047"/>
      <c r="M45" s="1164"/>
      <c r="N45" s="1103">
        <f>K45</f>
        <v>22092</v>
      </c>
      <c r="O45" s="1024"/>
      <c r="P45" s="1119"/>
      <c r="Q45" s="1103"/>
      <c r="R45" s="1040"/>
      <c r="S45" s="1032"/>
    </row>
    <row r="46" spans="1:21" s="87" customFormat="1" ht="27.75" customHeight="1" x14ac:dyDescent="0.2">
      <c r="A46" s="770"/>
      <c r="B46" s="1045" t="s">
        <v>531</v>
      </c>
      <c r="C46" s="862" t="s">
        <v>999</v>
      </c>
      <c r="D46" s="1030" t="s">
        <v>480</v>
      </c>
      <c r="E46" s="1024">
        <v>59166</v>
      </c>
      <c r="F46" s="1024"/>
      <c r="G46" s="1119"/>
      <c r="H46" s="1103">
        <v>15975</v>
      </c>
      <c r="I46" s="1024"/>
      <c r="J46" s="1119"/>
      <c r="K46" s="1111">
        <f t="shared" ref="K46:K56" si="11">SUM(E46:H46)</f>
        <v>75141</v>
      </c>
      <c r="L46" s="1047"/>
      <c r="M46" s="1164"/>
      <c r="N46" s="1103">
        <f t="shared" si="10"/>
        <v>75141</v>
      </c>
      <c r="O46" s="1024"/>
      <c r="P46" s="1119"/>
      <c r="Q46" s="1103"/>
      <c r="R46" s="1032"/>
      <c r="S46" s="1032"/>
    </row>
    <row r="47" spans="1:21" s="87" customFormat="1" ht="27.75" customHeight="1" x14ac:dyDescent="0.2">
      <c r="A47" s="770"/>
      <c r="B47" s="1053" t="s">
        <v>1379</v>
      </c>
      <c r="C47" s="1054" t="s">
        <v>1228</v>
      </c>
      <c r="D47" s="1024" t="s">
        <v>308</v>
      </c>
      <c r="E47" s="1024">
        <v>67427</v>
      </c>
      <c r="F47" s="1024"/>
      <c r="G47" s="1119"/>
      <c r="H47" s="1103">
        <v>540</v>
      </c>
      <c r="I47" s="1024"/>
      <c r="J47" s="1119"/>
      <c r="K47" s="1111">
        <f t="shared" si="11"/>
        <v>67967</v>
      </c>
      <c r="L47" s="1047"/>
      <c r="M47" s="1164"/>
      <c r="N47" s="1103">
        <f t="shared" si="10"/>
        <v>67967</v>
      </c>
      <c r="O47" s="1024"/>
      <c r="P47" s="1119"/>
      <c r="Q47" s="1103"/>
      <c r="R47" s="1032"/>
      <c r="S47" s="1032"/>
    </row>
    <row r="48" spans="1:21" s="87" customFormat="1" ht="44.25" customHeight="1" x14ac:dyDescent="0.2">
      <c r="A48" s="770"/>
      <c r="B48" s="1053" t="s">
        <v>1380</v>
      </c>
      <c r="C48" s="1054" t="s">
        <v>1381</v>
      </c>
      <c r="D48" s="1024" t="s">
        <v>308</v>
      </c>
      <c r="E48" s="1024">
        <v>21135</v>
      </c>
      <c r="F48" s="1024"/>
      <c r="G48" s="1119"/>
      <c r="H48" s="1103">
        <v>5706</v>
      </c>
      <c r="I48" s="1024"/>
      <c r="J48" s="1119"/>
      <c r="K48" s="1111">
        <f t="shared" si="11"/>
        <v>26841</v>
      </c>
      <c r="L48" s="1047"/>
      <c r="M48" s="1164"/>
      <c r="N48" s="1103">
        <f>K48</f>
        <v>26841</v>
      </c>
      <c r="O48" s="1024"/>
      <c r="P48" s="1119"/>
      <c r="Q48" s="1103"/>
      <c r="R48" s="1032"/>
      <c r="S48" s="1032"/>
    </row>
    <row r="49" spans="1:19" s="87" customFormat="1" ht="41.25" customHeight="1" x14ac:dyDescent="0.2">
      <c r="A49" s="770"/>
      <c r="B49" s="1045" t="s">
        <v>533</v>
      </c>
      <c r="C49" s="1054" t="s">
        <v>1313</v>
      </c>
      <c r="D49" s="1024" t="s">
        <v>308</v>
      </c>
      <c r="E49" s="1024">
        <v>513064</v>
      </c>
      <c r="F49" s="1024"/>
      <c r="G49" s="1119"/>
      <c r="H49" s="1103">
        <v>138527</v>
      </c>
      <c r="I49" s="1024"/>
      <c r="J49" s="1119"/>
      <c r="K49" s="1111">
        <f t="shared" si="11"/>
        <v>651591</v>
      </c>
      <c r="L49" s="1047"/>
      <c r="M49" s="1164"/>
      <c r="N49" s="1103">
        <f t="shared" si="10"/>
        <v>651591</v>
      </c>
      <c r="O49" s="1024"/>
      <c r="P49" s="1119"/>
      <c r="Q49" s="1103"/>
      <c r="R49" s="1032"/>
      <c r="S49" s="1032"/>
    </row>
    <row r="50" spans="1:19" s="87" customFormat="1" ht="27.75" customHeight="1" x14ac:dyDescent="0.2">
      <c r="A50" s="770"/>
      <c r="B50" s="1045" t="s">
        <v>534</v>
      </c>
      <c r="C50" s="1054" t="s">
        <v>1201</v>
      </c>
      <c r="D50" s="1024" t="s">
        <v>308</v>
      </c>
      <c r="E50" s="1024">
        <v>1181</v>
      </c>
      <c r="F50" s="1024"/>
      <c r="G50" s="1119"/>
      <c r="H50" s="1103">
        <v>319</v>
      </c>
      <c r="I50" s="1024"/>
      <c r="J50" s="1119"/>
      <c r="K50" s="1111">
        <f t="shared" si="11"/>
        <v>1500</v>
      </c>
      <c r="L50" s="1047"/>
      <c r="M50" s="1164"/>
      <c r="N50" s="1103"/>
      <c r="O50" s="1024"/>
      <c r="P50" s="1119"/>
      <c r="Q50" s="1103">
        <f>K50</f>
        <v>1500</v>
      </c>
      <c r="R50" s="1032"/>
      <c r="S50" s="1032"/>
    </row>
    <row r="51" spans="1:19" s="87" customFormat="1" ht="27.75" customHeight="1" x14ac:dyDescent="0.2">
      <c r="A51" s="770"/>
      <c r="B51" s="1045" t="s">
        <v>535</v>
      </c>
      <c r="C51" s="1054" t="s">
        <v>1284</v>
      </c>
      <c r="D51" s="1024" t="s">
        <v>308</v>
      </c>
      <c r="E51" s="1024">
        <v>0</v>
      </c>
      <c r="F51" s="1024"/>
      <c r="G51" s="1119"/>
      <c r="H51" s="1103">
        <v>0</v>
      </c>
      <c r="I51" s="1024"/>
      <c r="J51" s="1119"/>
      <c r="K51" s="1111">
        <f t="shared" si="11"/>
        <v>0</v>
      </c>
      <c r="L51" s="1047"/>
      <c r="M51" s="1164"/>
      <c r="N51" s="1103"/>
      <c r="O51" s="1024"/>
      <c r="P51" s="1119"/>
      <c r="Q51" s="1103">
        <v>0</v>
      </c>
      <c r="R51" s="1032"/>
      <c r="S51" s="1032"/>
    </row>
    <row r="52" spans="1:19" s="87" customFormat="1" ht="27.75" customHeight="1" x14ac:dyDescent="0.2">
      <c r="A52" s="770"/>
      <c r="B52" s="1045" t="s">
        <v>536</v>
      </c>
      <c r="C52" s="1054" t="s">
        <v>1285</v>
      </c>
      <c r="D52" s="1024"/>
      <c r="E52" s="1024">
        <v>41000</v>
      </c>
      <c r="F52" s="1024"/>
      <c r="G52" s="1119"/>
      <c r="H52" s="1103">
        <v>11070</v>
      </c>
      <c r="I52" s="1024"/>
      <c r="J52" s="1119"/>
      <c r="K52" s="1111">
        <f t="shared" si="11"/>
        <v>52070</v>
      </c>
      <c r="L52" s="1047"/>
      <c r="M52" s="1164"/>
      <c r="N52" s="1103">
        <f>K52</f>
        <v>52070</v>
      </c>
      <c r="O52" s="1024"/>
      <c r="P52" s="1119"/>
      <c r="Q52" s="1103"/>
      <c r="R52" s="1032"/>
      <c r="S52" s="1032"/>
    </row>
    <row r="53" spans="1:19" s="87" customFormat="1" ht="20.25" customHeight="1" x14ac:dyDescent="0.2">
      <c r="A53" s="770"/>
      <c r="B53" s="1045" t="s">
        <v>537</v>
      </c>
      <c r="C53" s="1054" t="s">
        <v>1317</v>
      </c>
      <c r="D53" s="1024" t="s">
        <v>308</v>
      </c>
      <c r="E53" s="1024">
        <v>1200</v>
      </c>
      <c r="F53" s="1024"/>
      <c r="G53" s="1119"/>
      <c r="H53" s="1103">
        <v>324</v>
      </c>
      <c r="I53" s="1024"/>
      <c r="J53" s="1119"/>
      <c r="K53" s="1111">
        <f t="shared" si="11"/>
        <v>1524</v>
      </c>
      <c r="L53" s="1047"/>
      <c r="M53" s="1164"/>
      <c r="N53" s="1103"/>
      <c r="O53" s="1024"/>
      <c r="P53" s="1119"/>
      <c r="Q53" s="1103">
        <f>K53</f>
        <v>1524</v>
      </c>
      <c r="R53" s="1032"/>
      <c r="S53" s="1032"/>
    </row>
    <row r="54" spans="1:19" s="87" customFormat="1" ht="24.75" customHeight="1" x14ac:dyDescent="0.2">
      <c r="A54" s="770"/>
      <c r="B54" s="1045" t="s">
        <v>539</v>
      </c>
      <c r="C54" s="1054" t="s">
        <v>1318</v>
      </c>
      <c r="D54" s="1024" t="s">
        <v>308</v>
      </c>
      <c r="E54" s="1024">
        <v>975</v>
      </c>
      <c r="F54" s="1024"/>
      <c r="G54" s="1119"/>
      <c r="H54" s="1103">
        <v>264</v>
      </c>
      <c r="I54" s="1024"/>
      <c r="J54" s="1119"/>
      <c r="K54" s="1111">
        <f t="shared" si="11"/>
        <v>1239</v>
      </c>
      <c r="L54" s="1047"/>
      <c r="M54" s="1164"/>
      <c r="N54" s="1103">
        <f>K54</f>
        <v>1239</v>
      </c>
      <c r="O54" s="1024"/>
      <c r="P54" s="1119"/>
      <c r="Q54" s="1103"/>
      <c r="R54" s="1032"/>
      <c r="S54" s="1032"/>
    </row>
    <row r="55" spans="1:19" s="87" customFormat="1" ht="24.75" customHeight="1" x14ac:dyDescent="0.2">
      <c r="A55" s="770"/>
      <c r="B55" s="1045" t="s">
        <v>540</v>
      </c>
      <c r="C55" s="1054" t="s">
        <v>1331</v>
      </c>
      <c r="D55" s="1024" t="s">
        <v>308</v>
      </c>
      <c r="E55" s="1024">
        <v>23862</v>
      </c>
      <c r="F55" s="1024"/>
      <c r="G55" s="1119"/>
      <c r="H55" s="1103">
        <v>6443</v>
      </c>
      <c r="I55" s="1024"/>
      <c r="J55" s="1119"/>
      <c r="K55" s="1111">
        <f t="shared" si="11"/>
        <v>30305</v>
      </c>
      <c r="L55" s="1047"/>
      <c r="M55" s="1164"/>
      <c r="N55" s="1103">
        <f>K55</f>
        <v>30305</v>
      </c>
      <c r="O55" s="1024"/>
      <c r="P55" s="1119"/>
      <c r="Q55" s="1103"/>
      <c r="R55" s="1032"/>
      <c r="S55" s="1032"/>
    </row>
    <row r="56" spans="1:19" s="87" customFormat="1" ht="24.75" customHeight="1" x14ac:dyDescent="0.2">
      <c r="A56" s="770"/>
      <c r="B56" s="1045" t="s">
        <v>541</v>
      </c>
      <c r="C56" s="1054" t="s">
        <v>1384</v>
      </c>
      <c r="D56" s="1024"/>
      <c r="E56" s="1024">
        <v>294</v>
      </c>
      <c r="F56" s="1024"/>
      <c r="G56" s="1119"/>
      <c r="H56" s="1103"/>
      <c r="I56" s="1024"/>
      <c r="J56" s="1119"/>
      <c r="K56" s="1111">
        <f t="shared" si="11"/>
        <v>294</v>
      </c>
      <c r="L56" s="1047"/>
      <c r="M56" s="1164"/>
      <c r="N56" s="1103">
        <f>K56</f>
        <v>294</v>
      </c>
      <c r="O56" s="1024"/>
      <c r="P56" s="1119"/>
      <c r="Q56" s="1103"/>
      <c r="R56" s="1032"/>
      <c r="S56" s="1032"/>
    </row>
    <row r="57" spans="1:19" s="87" customFormat="1" ht="15" customHeight="1" x14ac:dyDescent="0.2">
      <c r="A57" s="770"/>
      <c r="B57" s="1045"/>
      <c r="C57" s="1054"/>
      <c r="D57" s="1024"/>
      <c r="E57" s="1024"/>
      <c r="F57" s="1024"/>
      <c r="G57" s="1119"/>
      <c r="H57" s="1103"/>
      <c r="I57" s="1024"/>
      <c r="J57" s="1119"/>
      <c r="K57" s="1111"/>
      <c r="L57" s="1047"/>
      <c r="M57" s="1164"/>
      <c r="N57" s="1103"/>
      <c r="O57" s="1024"/>
      <c r="P57" s="1119"/>
      <c r="Q57" s="1103"/>
      <c r="R57" s="1032"/>
      <c r="S57" s="1032"/>
    </row>
    <row r="58" spans="1:19" s="87" customFormat="1" ht="16.5" customHeight="1" x14ac:dyDescent="0.2">
      <c r="A58" s="770"/>
      <c r="B58" s="1045"/>
      <c r="C58" s="1054"/>
      <c r="D58" s="1024"/>
      <c r="E58" s="1024"/>
      <c r="F58" s="1024"/>
      <c r="G58" s="1119"/>
      <c r="H58" s="1103"/>
      <c r="I58" s="1024"/>
      <c r="J58" s="1119"/>
      <c r="K58" s="1111"/>
      <c r="L58" s="1047"/>
      <c r="M58" s="1164"/>
      <c r="N58" s="1103"/>
      <c r="O58" s="1024"/>
      <c r="P58" s="1119"/>
      <c r="Q58" s="1103"/>
      <c r="R58" s="1032"/>
      <c r="S58" s="1032"/>
    </row>
    <row r="59" spans="1:19" s="87" customFormat="1" ht="10.5" customHeight="1" x14ac:dyDescent="0.2">
      <c r="A59" s="770"/>
      <c r="B59" s="1045"/>
      <c r="C59" s="1054"/>
      <c r="D59" s="1024"/>
      <c r="E59" s="1024"/>
      <c r="F59" s="1024"/>
      <c r="G59" s="1119"/>
      <c r="H59" s="1103"/>
      <c r="I59" s="1024"/>
      <c r="J59" s="1119"/>
      <c r="K59" s="1111"/>
      <c r="L59" s="1047"/>
      <c r="M59" s="1164"/>
      <c r="N59" s="1103"/>
      <c r="O59" s="1024"/>
      <c r="P59" s="1119"/>
      <c r="Q59" s="1103"/>
      <c r="R59" s="1032"/>
      <c r="S59" s="1032"/>
    </row>
    <row r="60" spans="1:19" ht="13.9" customHeight="1" x14ac:dyDescent="0.2">
      <c r="A60" s="769"/>
      <c r="B60" s="1022"/>
      <c r="C60" s="1033" t="s">
        <v>495</v>
      </c>
      <c r="D60" s="1055"/>
      <c r="E60" s="1026">
        <f>SUM(E31:E56)</f>
        <v>1466664</v>
      </c>
      <c r="F60" s="1026"/>
      <c r="G60" s="1118"/>
      <c r="H60" s="1102">
        <f t="shared" ref="H60:Q60" si="12">SUM(H31:H56)</f>
        <v>306177</v>
      </c>
      <c r="I60" s="1026"/>
      <c r="J60" s="1118"/>
      <c r="K60" s="1102">
        <f t="shared" si="12"/>
        <v>1772841</v>
      </c>
      <c r="L60" s="1026"/>
      <c r="M60" s="1159"/>
      <c r="N60" s="1102">
        <f t="shared" si="12"/>
        <v>1688117</v>
      </c>
      <c r="O60" s="1026"/>
      <c r="P60" s="1118"/>
      <c r="Q60" s="1102">
        <f t="shared" si="12"/>
        <v>84724</v>
      </c>
      <c r="R60" s="1028"/>
      <c r="S60" s="1028"/>
    </row>
    <row r="61" spans="1:19" s="87" customFormat="1" ht="13.9" customHeight="1" x14ac:dyDescent="0.2">
      <c r="A61" s="770"/>
      <c r="B61" s="1022"/>
      <c r="C61" s="1029"/>
      <c r="D61" s="1044"/>
      <c r="E61" s="1031"/>
      <c r="F61" s="1031"/>
      <c r="G61" s="1117"/>
      <c r="H61" s="1101"/>
      <c r="I61" s="1031"/>
      <c r="J61" s="1117"/>
      <c r="K61" s="1105"/>
      <c r="L61" s="1034"/>
      <c r="M61" s="1163"/>
      <c r="N61" s="1101"/>
      <c r="O61" s="1031"/>
      <c r="P61" s="1117"/>
      <c r="Q61" s="1105"/>
      <c r="R61" s="1032"/>
      <c r="S61" s="1032"/>
    </row>
    <row r="62" spans="1:19" s="87" customFormat="1" ht="13.9" customHeight="1" x14ac:dyDescent="0.2">
      <c r="A62" s="770"/>
      <c r="B62" s="1038"/>
      <c r="C62" s="1029"/>
      <c r="D62" s="1044"/>
      <c r="E62" s="1031"/>
      <c r="F62" s="1031"/>
      <c r="G62" s="1117"/>
      <c r="H62" s="1101"/>
      <c r="I62" s="1031"/>
      <c r="J62" s="1117"/>
      <c r="K62" s="1105"/>
      <c r="L62" s="1034"/>
      <c r="M62" s="1163"/>
      <c r="N62" s="1101"/>
      <c r="O62" s="1031"/>
      <c r="P62" s="1117"/>
      <c r="Q62" s="1101"/>
      <c r="R62" s="1032"/>
      <c r="S62" s="1032"/>
    </row>
    <row r="63" spans="1:19" s="88" customFormat="1" ht="15.75" customHeight="1" x14ac:dyDescent="0.15">
      <c r="A63" s="771"/>
      <c r="B63" s="1036" t="s">
        <v>496</v>
      </c>
      <c r="C63" s="1033" t="s">
        <v>497</v>
      </c>
      <c r="D63" s="1055"/>
      <c r="E63" s="1034"/>
      <c r="F63" s="1034"/>
      <c r="G63" s="1121"/>
      <c r="H63" s="1105"/>
      <c r="I63" s="1034"/>
      <c r="J63" s="1121"/>
      <c r="K63" s="1105"/>
      <c r="L63" s="1034"/>
      <c r="M63" s="1163"/>
      <c r="N63" s="1142"/>
      <c r="O63" s="1056"/>
      <c r="P63" s="1154"/>
      <c r="Q63" s="1142"/>
      <c r="R63" s="1057"/>
      <c r="S63" s="1057"/>
    </row>
    <row r="64" spans="1:19" s="88" customFormat="1" ht="15.75" customHeight="1" x14ac:dyDescent="0.15">
      <c r="A64" s="771"/>
      <c r="B64" s="1045" t="s">
        <v>479</v>
      </c>
      <c r="C64" s="1029" t="s">
        <v>1397</v>
      </c>
      <c r="D64" s="1058" t="s">
        <v>306</v>
      </c>
      <c r="E64" s="1059">
        <v>7606</v>
      </c>
      <c r="F64" s="1059"/>
      <c r="G64" s="1122"/>
      <c r="H64" s="1106">
        <v>2054</v>
      </c>
      <c r="I64" s="1059"/>
      <c r="J64" s="1122"/>
      <c r="K64" s="1132">
        <f>E64+H64</f>
        <v>9660</v>
      </c>
      <c r="L64" s="1060"/>
      <c r="M64" s="1166"/>
      <c r="N64" s="1106">
        <v>6350</v>
      </c>
      <c r="O64" s="1059"/>
      <c r="P64" s="1122"/>
      <c r="Q64" s="1106">
        <v>3310</v>
      </c>
      <c r="R64" s="1057"/>
      <c r="S64" s="1057"/>
    </row>
    <row r="65" spans="1:19" s="88" customFormat="1" ht="15.75" customHeight="1" x14ac:dyDescent="0.2">
      <c r="A65" s="771"/>
      <c r="B65" s="1045" t="s">
        <v>487</v>
      </c>
      <c r="C65" s="1061" t="s">
        <v>171</v>
      </c>
      <c r="D65" s="1058" t="s">
        <v>306</v>
      </c>
      <c r="E65" s="1030">
        <v>1000</v>
      </c>
      <c r="F65" s="1030"/>
      <c r="G65" s="1123"/>
      <c r="H65" s="1107">
        <v>270</v>
      </c>
      <c r="I65" s="1030"/>
      <c r="J65" s="1123"/>
      <c r="K65" s="1110">
        <f>SUM(E65:H65)</f>
        <v>1270</v>
      </c>
      <c r="L65" s="1062"/>
      <c r="M65" s="1167"/>
      <c r="N65" s="1110"/>
      <c r="O65" s="1062"/>
      <c r="P65" s="1126"/>
      <c r="Q65" s="1107">
        <v>1270</v>
      </c>
      <c r="R65" s="1057"/>
      <c r="S65" s="1057"/>
    </row>
    <row r="66" spans="1:19" s="88" customFormat="1" ht="27" customHeight="1" x14ac:dyDescent="0.15">
      <c r="A66" s="771"/>
      <c r="B66" s="1045" t="s">
        <v>488</v>
      </c>
      <c r="C66" s="1050" t="s">
        <v>1085</v>
      </c>
      <c r="D66" s="1058" t="s">
        <v>306</v>
      </c>
      <c r="E66" s="1030">
        <v>0</v>
      </c>
      <c r="F66" s="1030"/>
      <c r="G66" s="1123"/>
      <c r="H66" s="1107"/>
      <c r="I66" s="1030"/>
      <c r="J66" s="1123"/>
      <c r="K66" s="1110">
        <f t="shared" ref="K66:K67" si="13">E66+H66</f>
        <v>0</v>
      </c>
      <c r="L66" s="1062"/>
      <c r="M66" s="1167"/>
      <c r="N66" s="1107">
        <f>K66</f>
        <v>0</v>
      </c>
      <c r="O66" s="1030"/>
      <c r="P66" s="1123"/>
      <c r="Q66" s="1107"/>
      <c r="R66" s="1057"/>
      <c r="S66" s="1057"/>
    </row>
    <row r="67" spans="1:19" s="88" customFormat="1" ht="31.5" customHeight="1" x14ac:dyDescent="0.15">
      <c r="A67" s="771"/>
      <c r="B67" s="1045" t="s">
        <v>489</v>
      </c>
      <c r="C67" s="1050" t="s">
        <v>1083</v>
      </c>
      <c r="D67" s="1058" t="s">
        <v>306</v>
      </c>
      <c r="E67" s="1030">
        <v>12598</v>
      </c>
      <c r="F67" s="1030"/>
      <c r="G67" s="1123"/>
      <c r="H67" s="1107">
        <v>3402</v>
      </c>
      <c r="I67" s="1030"/>
      <c r="J67" s="1123"/>
      <c r="K67" s="1110">
        <f t="shared" si="13"/>
        <v>16000</v>
      </c>
      <c r="L67" s="1062"/>
      <c r="M67" s="1167"/>
      <c r="N67" s="1110"/>
      <c r="O67" s="1062"/>
      <c r="P67" s="1126"/>
      <c r="Q67" s="1107">
        <f>K67</f>
        <v>16000</v>
      </c>
      <c r="R67" s="1057"/>
      <c r="S67" s="1057"/>
    </row>
    <row r="68" spans="1:19" s="88" customFormat="1" ht="17.25" customHeight="1" x14ac:dyDescent="0.15">
      <c r="A68" s="771"/>
      <c r="B68" s="1045"/>
      <c r="C68" s="1050"/>
      <c r="D68" s="1058"/>
      <c r="E68" s="1030"/>
      <c r="F68" s="1030"/>
      <c r="G68" s="1123"/>
      <c r="H68" s="1107"/>
      <c r="I68" s="1030"/>
      <c r="J68" s="1123"/>
      <c r="K68" s="1110"/>
      <c r="L68" s="1062"/>
      <c r="M68" s="1167"/>
      <c r="N68" s="1110"/>
      <c r="O68" s="1062"/>
      <c r="P68" s="1126"/>
      <c r="Q68" s="1107"/>
      <c r="R68" s="1057"/>
      <c r="S68" s="1057"/>
    </row>
    <row r="69" spans="1:19" s="88" customFormat="1" ht="9.75" customHeight="1" x14ac:dyDescent="0.15">
      <c r="A69" s="771"/>
      <c r="B69" s="1045"/>
      <c r="C69" s="1050"/>
      <c r="D69" s="1058"/>
      <c r="E69" s="1030"/>
      <c r="F69" s="1030"/>
      <c r="G69" s="1123"/>
      <c r="H69" s="1107"/>
      <c r="I69" s="1030"/>
      <c r="J69" s="1123"/>
      <c r="K69" s="1110"/>
      <c r="L69" s="1062"/>
      <c r="M69" s="1167"/>
      <c r="N69" s="1110"/>
      <c r="O69" s="1062"/>
      <c r="P69" s="1126"/>
      <c r="Q69" s="1107"/>
      <c r="R69" s="1057"/>
      <c r="S69" s="1057"/>
    </row>
    <row r="70" spans="1:19" s="88" customFormat="1" ht="12" customHeight="1" x14ac:dyDescent="0.15">
      <c r="A70" s="771"/>
      <c r="B70" s="1036"/>
      <c r="C70" s="1033" t="s">
        <v>499</v>
      </c>
      <c r="D70" s="1055"/>
      <c r="E70" s="1034">
        <f>SUM(E64:E67)</f>
        <v>21204</v>
      </c>
      <c r="F70" s="1034"/>
      <c r="G70" s="1121"/>
      <c r="H70" s="1105">
        <f>SUM(H64:H67)</f>
        <v>5726</v>
      </c>
      <c r="I70" s="1034"/>
      <c r="J70" s="1121"/>
      <c r="K70" s="1105">
        <f>SUM(K64:K67)</f>
        <v>26930</v>
      </c>
      <c r="L70" s="1034"/>
      <c r="M70" s="1163"/>
      <c r="N70" s="1105">
        <f>SUM(N64:N67)</f>
        <v>6350</v>
      </c>
      <c r="O70" s="1034"/>
      <c r="P70" s="1121"/>
      <c r="Q70" s="1105">
        <f>SUM(Q64:Q67)</f>
        <v>20580</v>
      </c>
      <c r="R70" s="1056"/>
      <c r="S70" s="1057"/>
    </row>
    <row r="71" spans="1:19" s="88" customFormat="1" ht="12" customHeight="1" x14ac:dyDescent="0.15">
      <c r="A71" s="771"/>
      <c r="B71" s="1036"/>
      <c r="C71" s="1033"/>
      <c r="D71" s="1055"/>
      <c r="E71" s="1034"/>
      <c r="F71" s="1034"/>
      <c r="G71" s="1121"/>
      <c r="H71" s="1105"/>
      <c r="I71" s="1034"/>
      <c r="J71" s="1121"/>
      <c r="K71" s="1105"/>
      <c r="L71" s="1034"/>
      <c r="M71" s="1163"/>
      <c r="N71" s="1105"/>
      <c r="O71" s="1034"/>
      <c r="P71" s="1121"/>
      <c r="Q71" s="1105"/>
      <c r="R71" s="1057"/>
      <c r="S71" s="1057"/>
    </row>
    <row r="72" spans="1:19" s="88" customFormat="1" ht="12" customHeight="1" x14ac:dyDescent="0.15">
      <c r="A72" s="771"/>
      <c r="B72" s="1036"/>
      <c r="C72" s="1033"/>
      <c r="D72" s="1055"/>
      <c r="E72" s="1034"/>
      <c r="F72" s="1034"/>
      <c r="G72" s="1121"/>
      <c r="H72" s="1105"/>
      <c r="I72" s="1034"/>
      <c r="J72" s="1121"/>
      <c r="K72" s="1105"/>
      <c r="L72" s="1034"/>
      <c r="M72" s="1163"/>
      <c r="N72" s="1142"/>
      <c r="O72" s="1056"/>
      <c r="P72" s="1154"/>
      <c r="Q72" s="1142"/>
      <c r="R72" s="1057"/>
      <c r="S72" s="1057"/>
    </row>
    <row r="73" spans="1:19" s="79" customFormat="1" ht="15" customHeight="1" x14ac:dyDescent="0.2">
      <c r="A73" s="768"/>
      <c r="B73" s="1036" t="s">
        <v>500</v>
      </c>
      <c r="C73" s="1037" t="s">
        <v>501</v>
      </c>
      <c r="D73" s="1034"/>
      <c r="E73" s="1034"/>
      <c r="F73" s="1034"/>
      <c r="G73" s="1121"/>
      <c r="H73" s="1105"/>
      <c r="I73" s="1034"/>
      <c r="J73" s="1121"/>
      <c r="K73" s="1105"/>
      <c r="L73" s="1034"/>
      <c r="M73" s="1163"/>
      <c r="N73" s="1097"/>
      <c r="O73" s="1025"/>
      <c r="P73" s="1113"/>
      <c r="Q73" s="1097"/>
      <c r="R73" s="1035"/>
      <c r="S73" s="1035"/>
    </row>
    <row r="74" spans="1:19" s="79" customFormat="1" ht="15" customHeight="1" x14ac:dyDescent="0.2">
      <c r="A74" s="768"/>
      <c r="B74" s="1036"/>
      <c r="C74" s="1023"/>
      <c r="D74" s="1044"/>
      <c r="E74" s="1031"/>
      <c r="F74" s="1031"/>
      <c r="G74" s="1117"/>
      <c r="H74" s="1101"/>
      <c r="I74" s="1031"/>
      <c r="J74" s="1117"/>
      <c r="K74" s="1105"/>
      <c r="L74" s="1034"/>
      <c r="M74" s="1163"/>
      <c r="N74" s="1097"/>
      <c r="O74" s="1025"/>
      <c r="P74" s="1113"/>
      <c r="Q74" s="1097"/>
      <c r="R74" s="1035"/>
      <c r="S74" s="1035"/>
    </row>
    <row r="75" spans="1:19" s="79" customFormat="1" ht="13.5" customHeight="1" x14ac:dyDescent="0.2">
      <c r="A75" s="768"/>
      <c r="B75" s="1036"/>
      <c r="C75" s="1037" t="s">
        <v>502</v>
      </c>
      <c r="D75" s="1034"/>
      <c r="E75" s="1034">
        <f>SUM(E74)</f>
        <v>0</v>
      </c>
      <c r="F75" s="1034"/>
      <c r="G75" s="1121"/>
      <c r="H75" s="1105">
        <f>SUM(H74)</f>
        <v>0</v>
      </c>
      <c r="I75" s="1034"/>
      <c r="J75" s="1121"/>
      <c r="K75" s="1105">
        <f>SUM(K74)</f>
        <v>0</v>
      </c>
      <c r="L75" s="1034"/>
      <c r="M75" s="1163"/>
      <c r="N75" s="1105">
        <f>SUM(N74)</f>
        <v>0</v>
      </c>
      <c r="O75" s="1034"/>
      <c r="P75" s="1121"/>
      <c r="Q75" s="1105">
        <f>SUM(Q74)</f>
        <v>0</v>
      </c>
      <c r="R75" s="1035"/>
      <c r="S75" s="1035"/>
    </row>
    <row r="76" spans="1:19" s="79" customFormat="1" ht="13.5" customHeight="1" x14ac:dyDescent="0.2">
      <c r="A76" s="768"/>
      <c r="B76" s="1036"/>
      <c r="C76" s="1037"/>
      <c r="D76" s="1034"/>
      <c r="E76" s="1034"/>
      <c r="F76" s="1034"/>
      <c r="G76" s="1121"/>
      <c r="H76" s="1105"/>
      <c r="I76" s="1034"/>
      <c r="J76" s="1121"/>
      <c r="K76" s="1105"/>
      <c r="L76" s="1034"/>
      <c r="M76" s="1163"/>
      <c r="N76" s="1105"/>
      <c r="O76" s="1034"/>
      <c r="P76" s="1121"/>
      <c r="Q76" s="1105"/>
      <c r="R76" s="1035"/>
      <c r="S76" s="1035"/>
    </row>
    <row r="77" spans="1:19" s="79" customFormat="1" ht="13.5" customHeight="1" x14ac:dyDescent="0.2">
      <c r="A77" s="768"/>
      <c r="B77" s="1036" t="s">
        <v>88</v>
      </c>
      <c r="C77" s="1037" t="s">
        <v>172</v>
      </c>
      <c r="D77" s="1034"/>
      <c r="E77" s="1035"/>
      <c r="F77" s="1035"/>
      <c r="G77" s="1124"/>
      <c r="H77" s="1108"/>
      <c r="I77" s="1035"/>
      <c r="J77" s="1124"/>
      <c r="K77" s="1101"/>
      <c r="L77" s="1031"/>
      <c r="M77" s="1168"/>
      <c r="N77" s="1097"/>
      <c r="O77" s="1025"/>
      <c r="P77" s="1113"/>
      <c r="Q77" s="1101"/>
      <c r="R77" s="1035"/>
      <c r="S77" s="1035"/>
    </row>
    <row r="78" spans="1:19" s="79" customFormat="1" ht="20.25" customHeight="1" x14ac:dyDescent="0.2">
      <c r="A78" s="768"/>
      <c r="B78" s="1038" t="s">
        <v>498</v>
      </c>
      <c r="C78" s="1023" t="s">
        <v>1000</v>
      </c>
      <c r="D78" s="1034" t="s">
        <v>306</v>
      </c>
      <c r="E78" s="1030">
        <v>10000</v>
      </c>
      <c r="F78" s="1030"/>
      <c r="G78" s="1123"/>
      <c r="H78" s="1107">
        <v>2700</v>
      </c>
      <c r="I78" s="1030"/>
      <c r="J78" s="1123"/>
      <c r="K78" s="1110">
        <f>SUM(E78:H78)</f>
        <v>12700</v>
      </c>
      <c r="L78" s="1062"/>
      <c r="M78" s="1167"/>
      <c r="N78" s="1103"/>
      <c r="O78" s="1024"/>
      <c r="P78" s="1119"/>
      <c r="Q78" s="1107">
        <f>SUM(K78:N78)</f>
        <v>12700</v>
      </c>
      <c r="R78" s="1035"/>
      <c r="S78" s="1035"/>
    </row>
    <row r="79" spans="1:19" s="79" customFormat="1" ht="25.5" customHeight="1" x14ac:dyDescent="0.2">
      <c r="A79" s="768"/>
      <c r="B79" s="1038" t="s">
        <v>665</v>
      </c>
      <c r="C79" s="1063" t="s">
        <v>1036</v>
      </c>
      <c r="D79" s="1058" t="s">
        <v>306</v>
      </c>
      <c r="E79" s="1030">
        <v>2000</v>
      </c>
      <c r="F79" s="1030"/>
      <c r="G79" s="1123"/>
      <c r="H79" s="1107">
        <v>540</v>
      </c>
      <c r="I79" s="1030"/>
      <c r="J79" s="1123"/>
      <c r="K79" s="1110">
        <f>SUM(E79:H79)</f>
        <v>2540</v>
      </c>
      <c r="L79" s="1062"/>
      <c r="M79" s="1167"/>
      <c r="N79" s="1103"/>
      <c r="O79" s="1024"/>
      <c r="P79" s="1119"/>
      <c r="Q79" s="1107">
        <f>K79</f>
        <v>2540</v>
      </c>
      <c r="R79" s="1035"/>
      <c r="S79" s="1035"/>
    </row>
    <row r="80" spans="1:19" s="79" customFormat="1" ht="25.5" customHeight="1" x14ac:dyDescent="0.2">
      <c r="A80" s="768"/>
      <c r="B80" s="1038" t="s">
        <v>1320</v>
      </c>
      <c r="C80" s="1063" t="s">
        <v>1319</v>
      </c>
      <c r="D80" s="1058" t="s">
        <v>306</v>
      </c>
      <c r="E80" s="1030">
        <v>0</v>
      </c>
      <c r="F80" s="1030"/>
      <c r="G80" s="1123"/>
      <c r="H80" s="1107">
        <v>0</v>
      </c>
      <c r="I80" s="1030"/>
      <c r="J80" s="1123"/>
      <c r="K80" s="1110">
        <f>SUM(E80:H80)</f>
        <v>0</v>
      </c>
      <c r="L80" s="1062"/>
      <c r="M80" s="1167"/>
      <c r="N80" s="1103">
        <f>K80</f>
        <v>0</v>
      </c>
      <c r="O80" s="1024"/>
      <c r="P80" s="1119"/>
      <c r="Q80" s="1107"/>
      <c r="R80" s="1035"/>
      <c r="S80" s="1035"/>
    </row>
    <row r="81" spans="1:24" s="79" customFormat="1" ht="18" customHeight="1" x14ac:dyDescent="0.2">
      <c r="A81" s="768"/>
      <c r="B81" s="1038"/>
      <c r="C81" s="1063"/>
      <c r="D81" s="1058"/>
      <c r="E81" s="1030"/>
      <c r="F81" s="1030"/>
      <c r="G81" s="1123"/>
      <c r="H81" s="1107"/>
      <c r="I81" s="1030"/>
      <c r="J81" s="1123"/>
      <c r="K81" s="1110"/>
      <c r="L81" s="1062"/>
      <c r="M81" s="1167"/>
      <c r="N81" s="1103"/>
      <c r="O81" s="1024"/>
      <c r="P81" s="1119"/>
      <c r="Q81" s="1107"/>
      <c r="R81" s="1035"/>
      <c r="S81" s="1035"/>
    </row>
    <row r="82" spans="1:24" s="79" customFormat="1" ht="7.5" customHeight="1" x14ac:dyDescent="0.2">
      <c r="A82" s="768"/>
      <c r="B82" s="1038"/>
      <c r="C82" s="1023"/>
      <c r="D82" s="1058"/>
      <c r="E82" s="1030"/>
      <c r="F82" s="1030"/>
      <c r="G82" s="1123"/>
      <c r="H82" s="1107"/>
      <c r="I82" s="1030"/>
      <c r="J82" s="1123"/>
      <c r="K82" s="1110"/>
      <c r="L82" s="1062"/>
      <c r="M82" s="1167"/>
      <c r="N82" s="1103"/>
      <c r="O82" s="1024"/>
      <c r="P82" s="1119"/>
      <c r="Q82" s="1107"/>
      <c r="R82" s="1040"/>
      <c r="S82" s="1035"/>
    </row>
    <row r="83" spans="1:24" s="79" customFormat="1" ht="12.75" customHeight="1" x14ac:dyDescent="0.2">
      <c r="A83" s="768"/>
      <c r="B83" s="1038"/>
      <c r="C83" s="1037" t="s">
        <v>173</v>
      </c>
      <c r="D83" s="1034"/>
      <c r="E83" s="1034">
        <f>SUM(E78:E82)</f>
        <v>12000</v>
      </c>
      <c r="F83" s="1034"/>
      <c r="G83" s="1121"/>
      <c r="H83" s="1105">
        <f>SUM(H78:H82)</f>
        <v>3240</v>
      </c>
      <c r="I83" s="1034"/>
      <c r="J83" s="1121"/>
      <c r="K83" s="1105">
        <f>SUM(K78:K82)</f>
        <v>15240</v>
      </c>
      <c r="L83" s="1034"/>
      <c r="M83" s="1163"/>
      <c r="N83" s="1105">
        <f>SUM(N78:N82)</f>
        <v>0</v>
      </c>
      <c r="O83" s="1034"/>
      <c r="P83" s="1121"/>
      <c r="Q83" s="1105">
        <f>SUM(Q78:Q82)</f>
        <v>15240</v>
      </c>
      <c r="R83" s="1025"/>
      <c r="S83" s="1035"/>
      <c r="T83" s="736"/>
      <c r="U83" s="736"/>
      <c r="W83" s="736"/>
      <c r="X83" s="736"/>
    </row>
    <row r="84" spans="1:24" s="79" customFormat="1" ht="12.75" customHeight="1" x14ac:dyDescent="0.2">
      <c r="A84" s="768"/>
      <c r="B84" s="1038"/>
      <c r="C84" s="1037"/>
      <c r="D84" s="1034"/>
      <c r="E84" s="1034"/>
      <c r="F84" s="1034"/>
      <c r="G84" s="1121"/>
      <c r="H84" s="1105"/>
      <c r="I84" s="1034"/>
      <c r="J84" s="1121"/>
      <c r="K84" s="1105"/>
      <c r="L84" s="1034"/>
      <c r="M84" s="1163"/>
      <c r="N84" s="1097"/>
      <c r="O84" s="1025"/>
      <c r="P84" s="1113"/>
      <c r="Q84" s="1097"/>
      <c r="R84" s="1025"/>
      <c r="S84" s="1035"/>
      <c r="W84" s="736"/>
    </row>
    <row r="85" spans="1:24" s="79" customFormat="1" ht="24" customHeight="1" x14ac:dyDescent="0.2">
      <c r="A85" s="768"/>
      <c r="B85" s="1036" t="s">
        <v>89</v>
      </c>
      <c r="C85" s="1037" t="s">
        <v>72</v>
      </c>
      <c r="D85" s="1034"/>
      <c r="E85" s="1034"/>
      <c r="F85" s="1034"/>
      <c r="G85" s="1121"/>
      <c r="H85" s="1105"/>
      <c r="I85" s="1034"/>
      <c r="J85" s="1121"/>
      <c r="K85" s="1105"/>
      <c r="L85" s="1034"/>
      <c r="M85" s="1163"/>
      <c r="N85" s="1097"/>
      <c r="O85" s="1025"/>
      <c r="P85" s="1113"/>
      <c r="Q85" s="1097"/>
      <c r="R85" s="1035"/>
      <c r="S85" s="1035"/>
    </row>
    <row r="86" spans="1:24" s="79" customFormat="1" ht="33.75" customHeight="1" x14ac:dyDescent="0.2">
      <c r="A86" s="768"/>
      <c r="B86" s="1036" t="s">
        <v>479</v>
      </c>
      <c r="C86" s="1023" t="s">
        <v>1321</v>
      </c>
      <c r="D86" s="1034"/>
      <c r="E86" s="1031">
        <v>12004</v>
      </c>
      <c r="F86" s="1031"/>
      <c r="G86" s="1117"/>
      <c r="H86" s="1101"/>
      <c r="I86" s="1031"/>
      <c r="J86" s="1117"/>
      <c r="K86" s="1105">
        <f>E86+H86</f>
        <v>12004</v>
      </c>
      <c r="L86" s="1034"/>
      <c r="M86" s="1163"/>
      <c r="N86" s="1097">
        <f>K86</f>
        <v>12004</v>
      </c>
      <c r="O86" s="1025"/>
      <c r="P86" s="1113"/>
      <c r="Q86" s="1097"/>
      <c r="R86" s="1035"/>
      <c r="S86" s="1035"/>
    </row>
    <row r="87" spans="1:24" s="79" customFormat="1" ht="24" customHeight="1" x14ac:dyDescent="0.2">
      <c r="A87" s="768"/>
      <c r="B87" s="1036" t="s">
        <v>487</v>
      </c>
      <c r="C87" s="1023" t="s">
        <v>1322</v>
      </c>
      <c r="D87" s="1034"/>
      <c r="E87" s="1031">
        <v>78232</v>
      </c>
      <c r="F87" s="1031"/>
      <c r="G87" s="1117"/>
      <c r="H87" s="1105"/>
      <c r="I87" s="1034"/>
      <c r="J87" s="1121"/>
      <c r="K87" s="1105">
        <f>E87+H87</f>
        <v>78232</v>
      </c>
      <c r="L87" s="1034"/>
      <c r="M87" s="1163"/>
      <c r="N87" s="1097"/>
      <c r="O87" s="1025"/>
      <c r="P87" s="1113"/>
      <c r="Q87" s="1097">
        <f>K87</f>
        <v>78232</v>
      </c>
      <c r="R87" s="1035"/>
      <c r="S87" s="1035"/>
    </row>
    <row r="88" spans="1:24" s="79" customFormat="1" ht="24" customHeight="1" x14ac:dyDescent="0.2">
      <c r="A88" s="768"/>
      <c r="B88" s="1036"/>
      <c r="C88" s="1023"/>
      <c r="D88" s="1034"/>
      <c r="E88" s="1031"/>
      <c r="F88" s="1031"/>
      <c r="G88" s="1117"/>
      <c r="H88" s="1105"/>
      <c r="I88" s="1034"/>
      <c r="J88" s="1121"/>
      <c r="K88" s="1105"/>
      <c r="L88" s="1034"/>
      <c r="M88" s="1163"/>
      <c r="N88" s="1097"/>
      <c r="O88" s="1025"/>
      <c r="P88" s="1113"/>
      <c r="Q88" s="1097"/>
      <c r="R88" s="1035"/>
      <c r="S88" s="1035"/>
    </row>
    <row r="89" spans="1:24" s="79" customFormat="1" ht="8.25" customHeight="1" x14ac:dyDescent="0.2">
      <c r="A89" s="768"/>
      <c r="B89" s="1038"/>
      <c r="C89" s="1023"/>
      <c r="D89" s="1058"/>
      <c r="E89" s="1030"/>
      <c r="F89" s="1030"/>
      <c r="G89" s="1123"/>
      <c r="H89" s="1107"/>
      <c r="I89" s="1030"/>
      <c r="J89" s="1123"/>
      <c r="K89" s="1110"/>
      <c r="L89" s="1062"/>
      <c r="M89" s="1167"/>
      <c r="N89" s="1103"/>
      <c r="O89" s="1024"/>
      <c r="P89" s="1119"/>
      <c r="Q89" s="1103"/>
      <c r="R89" s="1035"/>
      <c r="S89" s="1035"/>
    </row>
    <row r="90" spans="1:24" s="79" customFormat="1" ht="22.5" customHeight="1" x14ac:dyDescent="0.2">
      <c r="A90" s="768"/>
      <c r="B90" s="1038"/>
      <c r="C90" s="1033" t="s">
        <v>503</v>
      </c>
      <c r="D90" s="1034"/>
      <c r="E90" s="1034">
        <f>SUM(E86:E87)</f>
        <v>90236</v>
      </c>
      <c r="F90" s="1034"/>
      <c r="G90" s="1121"/>
      <c r="H90" s="1105">
        <f t="shared" ref="H90:Q90" si="14">SUM(H86:H87)</f>
        <v>0</v>
      </c>
      <c r="I90" s="1034"/>
      <c r="J90" s="1121"/>
      <c r="K90" s="1105">
        <f t="shared" si="14"/>
        <v>90236</v>
      </c>
      <c r="L90" s="1034"/>
      <c r="M90" s="1163"/>
      <c r="N90" s="1105">
        <f t="shared" si="14"/>
        <v>12004</v>
      </c>
      <c r="O90" s="1034"/>
      <c r="P90" s="1121"/>
      <c r="Q90" s="1105">
        <f t="shared" si="14"/>
        <v>78232</v>
      </c>
      <c r="R90" s="1035"/>
      <c r="S90" s="1035"/>
    </row>
    <row r="91" spans="1:24" s="79" customFormat="1" ht="12.75" customHeight="1" x14ac:dyDescent="0.2">
      <c r="A91" s="768"/>
      <c r="B91" s="1038"/>
      <c r="C91" s="1064"/>
      <c r="D91" s="1031"/>
      <c r="E91" s="1034"/>
      <c r="F91" s="1034"/>
      <c r="G91" s="1121"/>
      <c r="H91" s="1105"/>
      <c r="I91" s="1034"/>
      <c r="J91" s="1121"/>
      <c r="K91" s="1105"/>
      <c r="L91" s="1034"/>
      <c r="M91" s="1163"/>
      <c r="N91" s="1097"/>
      <c r="O91" s="1025"/>
      <c r="P91" s="1113"/>
      <c r="Q91" s="1097"/>
      <c r="R91" s="1035"/>
      <c r="S91" s="1035"/>
    </row>
    <row r="92" spans="1:24" s="79" customFormat="1" ht="12" customHeight="1" x14ac:dyDescent="0.2">
      <c r="A92" s="768"/>
      <c r="B92" s="1038"/>
      <c r="C92" s="1023"/>
      <c r="D92" s="1031"/>
      <c r="E92" s="1031"/>
      <c r="F92" s="1031"/>
      <c r="G92" s="1117"/>
      <c r="H92" s="1101"/>
      <c r="I92" s="1031"/>
      <c r="J92" s="1117"/>
      <c r="K92" s="1105"/>
      <c r="L92" s="1034"/>
      <c r="M92" s="1163"/>
      <c r="N92" s="1097"/>
      <c r="O92" s="1025"/>
      <c r="P92" s="1113"/>
      <c r="Q92" s="1097"/>
      <c r="R92" s="1035"/>
      <c r="S92" s="1035"/>
    </row>
    <row r="93" spans="1:24" s="79" customFormat="1" ht="12.75" customHeight="1" x14ac:dyDescent="0.2">
      <c r="A93" s="768"/>
      <c r="B93" s="1036" t="s">
        <v>90</v>
      </c>
      <c r="C93" s="1037" t="s">
        <v>301</v>
      </c>
      <c r="D93" s="1031"/>
      <c r="E93" s="1031"/>
      <c r="F93" s="1031"/>
      <c r="G93" s="1117"/>
      <c r="H93" s="1101"/>
      <c r="I93" s="1031"/>
      <c r="J93" s="1117"/>
      <c r="K93" s="1105"/>
      <c r="L93" s="1034"/>
      <c r="M93" s="1163"/>
      <c r="N93" s="1097"/>
      <c r="O93" s="1025"/>
      <c r="P93" s="1113"/>
      <c r="Q93" s="1097"/>
      <c r="R93" s="1035"/>
      <c r="S93" s="1035"/>
    </row>
    <row r="94" spans="1:24" s="89" customFormat="1" ht="13.5" customHeight="1" x14ac:dyDescent="0.2">
      <c r="A94" s="772"/>
      <c r="B94" s="1038" t="s">
        <v>479</v>
      </c>
      <c r="C94" s="1023" t="s">
        <v>73</v>
      </c>
      <c r="D94" s="1031"/>
      <c r="E94" s="1065">
        <v>49688</v>
      </c>
      <c r="F94" s="1065"/>
      <c r="G94" s="1125"/>
      <c r="H94" s="1109"/>
      <c r="I94" s="1065"/>
      <c r="J94" s="1125"/>
      <c r="K94" s="1133">
        <f>SUM(E94:H94)</f>
        <v>49688</v>
      </c>
      <c r="L94" s="1066"/>
      <c r="M94" s="1169"/>
      <c r="N94" s="1109">
        <f>K94</f>
        <v>49688</v>
      </c>
      <c r="O94" s="1065"/>
      <c r="P94" s="1125"/>
      <c r="Q94" s="1145"/>
      <c r="R94" s="1068"/>
      <c r="S94" s="1068"/>
    </row>
    <row r="95" spans="1:24" s="89" customFormat="1" ht="13.5" customHeight="1" x14ac:dyDescent="0.2">
      <c r="A95" s="772"/>
      <c r="B95" s="1038" t="s">
        <v>487</v>
      </c>
      <c r="C95" s="1023" t="s">
        <v>1385</v>
      </c>
      <c r="D95" s="1031"/>
      <c r="E95" s="1065">
        <v>4156</v>
      </c>
      <c r="F95" s="1065"/>
      <c r="G95" s="1125"/>
      <c r="H95" s="1109"/>
      <c r="I95" s="1065"/>
      <c r="J95" s="1125"/>
      <c r="K95" s="1133">
        <v>4156</v>
      </c>
      <c r="L95" s="1066"/>
      <c r="M95" s="1169"/>
      <c r="N95" s="1109">
        <f>K95</f>
        <v>4156</v>
      </c>
      <c r="O95" s="1065"/>
      <c r="P95" s="1125"/>
      <c r="Q95" s="1145"/>
      <c r="R95" s="1068"/>
      <c r="S95" s="1068"/>
    </row>
    <row r="96" spans="1:24" s="89" customFormat="1" ht="24.75" customHeight="1" x14ac:dyDescent="0.2">
      <c r="A96" s="772"/>
      <c r="B96" s="1038" t="s">
        <v>488</v>
      </c>
      <c r="C96" s="957" t="s">
        <v>1160</v>
      </c>
      <c r="D96" s="1024"/>
      <c r="E96" s="1024"/>
      <c r="F96" s="1024"/>
      <c r="G96" s="1119"/>
      <c r="H96" s="1103"/>
      <c r="I96" s="1024"/>
      <c r="J96" s="1119"/>
      <c r="K96" s="1111">
        <f>E96+H96</f>
        <v>0</v>
      </c>
      <c r="L96" s="1047"/>
      <c r="M96" s="1164"/>
      <c r="N96" s="1103"/>
      <c r="O96" s="1024"/>
      <c r="P96" s="1119"/>
      <c r="Q96" s="1103">
        <f>K96</f>
        <v>0</v>
      </c>
      <c r="R96" s="1068"/>
      <c r="S96" s="1068"/>
    </row>
    <row r="97" spans="1:22" s="89" customFormat="1" ht="15.75" customHeight="1" x14ac:dyDescent="0.2">
      <c r="A97" s="772"/>
      <c r="B97" s="1038" t="s">
        <v>489</v>
      </c>
      <c r="C97" s="957" t="s">
        <v>287</v>
      </c>
      <c r="D97" s="1024"/>
      <c r="E97" s="1024">
        <v>4350</v>
      </c>
      <c r="F97" s="1024"/>
      <c r="G97" s="1119"/>
      <c r="H97" s="1103"/>
      <c r="I97" s="1024"/>
      <c r="J97" s="1119"/>
      <c r="K97" s="1111">
        <f>E97+H97</f>
        <v>4350</v>
      </c>
      <c r="L97" s="1047"/>
      <c r="M97" s="1164"/>
      <c r="N97" s="1103"/>
      <c r="O97" s="1024"/>
      <c r="P97" s="1119"/>
      <c r="Q97" s="1103">
        <f>K97</f>
        <v>4350</v>
      </c>
      <c r="R97" s="1068"/>
      <c r="S97" s="1068"/>
    </row>
    <row r="98" spans="1:22" s="89" customFormat="1" ht="15.75" customHeight="1" x14ac:dyDescent="0.2">
      <c r="A98" s="772"/>
      <c r="B98" s="1038"/>
      <c r="C98" s="957"/>
      <c r="D98" s="1024"/>
      <c r="E98" s="1024"/>
      <c r="F98" s="1024"/>
      <c r="G98" s="1119"/>
      <c r="H98" s="1103"/>
      <c r="I98" s="1024"/>
      <c r="J98" s="1119"/>
      <c r="K98" s="1111"/>
      <c r="L98" s="1047"/>
      <c r="M98" s="1164"/>
      <c r="N98" s="1103"/>
      <c r="O98" s="1024"/>
      <c r="P98" s="1119"/>
      <c r="Q98" s="1103"/>
      <c r="R98" s="1068"/>
      <c r="S98" s="1068"/>
    </row>
    <row r="99" spans="1:22" s="89" customFormat="1" ht="12" customHeight="1" x14ac:dyDescent="0.2">
      <c r="A99" s="772"/>
      <c r="B99" s="1038"/>
      <c r="C99" s="957"/>
      <c r="D99" s="1024"/>
      <c r="E99" s="1024"/>
      <c r="F99" s="1024"/>
      <c r="G99" s="1119"/>
      <c r="H99" s="1103"/>
      <c r="I99" s="1024"/>
      <c r="J99" s="1119"/>
      <c r="K99" s="1111"/>
      <c r="L99" s="1047"/>
      <c r="M99" s="1164"/>
      <c r="N99" s="1103"/>
      <c r="O99" s="1024"/>
      <c r="P99" s="1119"/>
      <c r="Q99" s="1103"/>
      <c r="R99" s="1068"/>
      <c r="S99" s="1068"/>
    </row>
    <row r="100" spans="1:22" s="79" customFormat="1" ht="13.5" customHeight="1" x14ac:dyDescent="0.2">
      <c r="A100" s="768"/>
      <c r="B100" s="1038"/>
      <c r="C100" s="1037" t="s">
        <v>504</v>
      </c>
      <c r="D100" s="1034"/>
      <c r="E100" s="1034">
        <f>SUM(E94:E99)</f>
        <v>58194</v>
      </c>
      <c r="F100" s="1034"/>
      <c r="G100" s="1121"/>
      <c r="H100" s="1105">
        <f>SUM(H94:H99)</f>
        <v>0</v>
      </c>
      <c r="I100" s="1034"/>
      <c r="J100" s="1121"/>
      <c r="K100" s="1105">
        <f>SUM(K94:K99)</f>
        <v>58194</v>
      </c>
      <c r="L100" s="1034"/>
      <c r="M100" s="1163"/>
      <c r="N100" s="1105">
        <f>SUM(N94:N99)</f>
        <v>53844</v>
      </c>
      <c r="O100" s="1034"/>
      <c r="P100" s="1121"/>
      <c r="Q100" s="1105">
        <f>SUM(Q94:Q99)</f>
        <v>4350</v>
      </c>
      <c r="R100" s="1035"/>
      <c r="S100" s="1035"/>
    </row>
    <row r="101" spans="1:22" s="79" customFormat="1" ht="12.75" customHeight="1" x14ac:dyDescent="0.2">
      <c r="A101" s="768"/>
      <c r="B101" s="1038"/>
      <c r="C101" s="1037"/>
      <c r="D101" s="1031"/>
      <c r="E101" s="1031"/>
      <c r="F101" s="1031"/>
      <c r="G101" s="1117"/>
      <c r="H101" s="1101"/>
      <c r="I101" s="1031"/>
      <c r="J101" s="1117"/>
      <c r="K101" s="1105"/>
      <c r="L101" s="1034"/>
      <c r="M101" s="1163"/>
      <c r="N101" s="1097"/>
      <c r="O101" s="1025"/>
      <c r="P101" s="1113"/>
      <c r="Q101" s="1097"/>
      <c r="R101" s="1035"/>
      <c r="S101" s="1035"/>
    </row>
    <row r="102" spans="1:22" ht="12.75" customHeight="1" x14ac:dyDescent="0.2">
      <c r="A102" s="769"/>
      <c r="B102" s="1036" t="s">
        <v>506</v>
      </c>
      <c r="C102" s="1037" t="s">
        <v>1040</v>
      </c>
      <c r="D102" s="1031"/>
      <c r="E102" s="1031"/>
      <c r="F102" s="1031"/>
      <c r="G102" s="1117"/>
      <c r="H102" s="1101"/>
      <c r="I102" s="1031"/>
      <c r="J102" s="1117"/>
      <c r="K102" s="1105"/>
      <c r="L102" s="1034"/>
      <c r="M102" s="1163"/>
      <c r="N102" s="1140"/>
      <c r="O102" s="1027"/>
      <c r="P102" s="1152"/>
      <c r="Q102" s="1140"/>
      <c r="R102" s="1028"/>
      <c r="S102" s="1028"/>
    </row>
    <row r="103" spans="1:22" s="89" customFormat="1" ht="15" customHeight="1" x14ac:dyDescent="0.2">
      <c r="A103" s="772"/>
      <c r="B103" s="1038" t="s">
        <v>479</v>
      </c>
      <c r="C103" s="1023" t="s">
        <v>1143</v>
      </c>
      <c r="D103" s="1030"/>
      <c r="E103" s="1030">
        <v>5000</v>
      </c>
      <c r="F103" s="1030"/>
      <c r="G103" s="1123"/>
      <c r="H103" s="1107"/>
      <c r="I103" s="1030"/>
      <c r="J103" s="1123"/>
      <c r="K103" s="1110">
        <f>E103</f>
        <v>5000</v>
      </c>
      <c r="L103" s="1062"/>
      <c r="M103" s="1167"/>
      <c r="N103" s="1143"/>
      <c r="O103" s="1069"/>
      <c r="P103" s="1155"/>
      <c r="Q103" s="1107">
        <f>K103</f>
        <v>5000</v>
      </c>
      <c r="R103" s="1068"/>
      <c r="S103" s="1068"/>
      <c r="V103" s="687"/>
    </row>
    <row r="104" spans="1:22" s="89" customFormat="1" ht="12" customHeight="1" x14ac:dyDescent="0.2">
      <c r="A104" s="772"/>
      <c r="B104" s="1038"/>
      <c r="C104" s="1023"/>
      <c r="D104" s="1031"/>
      <c r="E104" s="1031"/>
      <c r="F104" s="1031"/>
      <c r="G104" s="1117"/>
      <c r="H104" s="1101"/>
      <c r="I104" s="1031"/>
      <c r="J104" s="1117"/>
      <c r="K104" s="1105"/>
      <c r="L104" s="1034"/>
      <c r="M104" s="1163"/>
      <c r="N104" s="1144"/>
      <c r="O104" s="1070"/>
      <c r="P104" s="1156"/>
      <c r="Q104" s="1101"/>
      <c r="R104" s="1068"/>
      <c r="S104" s="1068"/>
    </row>
    <row r="105" spans="1:22" s="79" customFormat="1" ht="21.75" customHeight="1" x14ac:dyDescent="0.2">
      <c r="A105" s="768"/>
      <c r="B105" s="1038"/>
      <c r="C105" s="1037" t="s">
        <v>505</v>
      </c>
      <c r="D105" s="1062"/>
      <c r="E105" s="1062">
        <f>SUM(E103:E103)</f>
        <v>5000</v>
      </c>
      <c r="F105" s="1062"/>
      <c r="G105" s="1126"/>
      <c r="H105" s="1110">
        <f>SUM(H103:H103)</f>
        <v>0</v>
      </c>
      <c r="I105" s="1062"/>
      <c r="J105" s="1126"/>
      <c r="K105" s="1110">
        <f>SUM(K103:K103)</f>
        <v>5000</v>
      </c>
      <c r="L105" s="1062"/>
      <c r="M105" s="1167"/>
      <c r="N105" s="1110">
        <f>SUM(N103:N103)</f>
        <v>0</v>
      </c>
      <c r="O105" s="1062"/>
      <c r="P105" s="1126"/>
      <c r="Q105" s="1110">
        <f>SUM(Q103:Q103)</f>
        <v>5000</v>
      </c>
      <c r="R105" s="1035"/>
      <c r="S105" s="1035"/>
    </row>
    <row r="106" spans="1:22" s="79" customFormat="1" ht="13.5" customHeight="1" x14ac:dyDescent="0.2">
      <c r="A106" s="768"/>
      <c r="B106" s="1038"/>
      <c r="C106" s="1037"/>
      <c r="D106" s="1034"/>
      <c r="E106" s="1034"/>
      <c r="F106" s="1034"/>
      <c r="G106" s="1121"/>
      <c r="H106" s="1105"/>
      <c r="I106" s="1034"/>
      <c r="J106" s="1121"/>
      <c r="K106" s="1105"/>
      <c r="L106" s="1034"/>
      <c r="M106" s="1163"/>
      <c r="N106" s="1105"/>
      <c r="O106" s="1034"/>
      <c r="P106" s="1121"/>
      <c r="Q106" s="1105"/>
      <c r="R106" s="1035"/>
      <c r="S106" s="1035"/>
    </row>
    <row r="107" spans="1:22" s="79" customFormat="1" ht="13.5" customHeight="1" x14ac:dyDescent="0.2">
      <c r="A107" s="768"/>
      <c r="B107" s="1038"/>
      <c r="C107" s="1037"/>
      <c r="D107" s="1034"/>
      <c r="E107" s="1034"/>
      <c r="F107" s="1034"/>
      <c r="G107" s="1121"/>
      <c r="H107" s="1105"/>
      <c r="I107" s="1034"/>
      <c r="J107" s="1121"/>
      <c r="K107" s="1105"/>
      <c r="L107" s="1034"/>
      <c r="M107" s="1163"/>
      <c r="N107" s="1097"/>
      <c r="O107" s="1025"/>
      <c r="P107" s="1113"/>
      <c r="Q107" s="1097"/>
      <c r="R107" s="1035"/>
      <c r="S107" s="1035"/>
    </row>
    <row r="108" spans="1:22" s="79" customFormat="1" ht="13.5" customHeight="1" x14ac:dyDescent="0.2">
      <c r="A108" s="768"/>
      <c r="B108" s="1038"/>
      <c r="C108" s="1037" t="s">
        <v>174</v>
      </c>
      <c r="D108" s="1034"/>
      <c r="E108" s="1034">
        <f>E19+E28+E60+E70+E75+E83+E90+E100+E105</f>
        <v>1721623</v>
      </c>
      <c r="F108" s="1034"/>
      <c r="G108" s="1121"/>
      <c r="H108" s="1105">
        <f>H19+H28+H60+H70+H75+H83+H90+H100+H105</f>
        <v>333590</v>
      </c>
      <c r="I108" s="1034"/>
      <c r="J108" s="1121"/>
      <c r="K108" s="1105">
        <f>K19+K28+K60+K70+K75+K83+K90+K100+K105</f>
        <v>2055213</v>
      </c>
      <c r="L108" s="1034"/>
      <c r="M108" s="1163"/>
      <c r="N108" s="1105">
        <f>N19+N28+N60+N70+N75+N83+N90+N100+N105</f>
        <v>1813381</v>
      </c>
      <c r="O108" s="1034"/>
      <c r="P108" s="1121"/>
      <c r="Q108" s="1105">
        <f>Q19+Q28+Q60+Q70+Q75+Q83+Q90+Q100+Q105</f>
        <v>241832</v>
      </c>
      <c r="R108" s="1035"/>
      <c r="S108" s="1035"/>
    </row>
    <row r="109" spans="1:22" s="79" customFormat="1" ht="13.5" customHeight="1" x14ac:dyDescent="0.2">
      <c r="A109" s="768"/>
      <c r="B109" s="1038"/>
      <c r="C109" s="1037"/>
      <c r="D109" s="1034"/>
      <c r="E109" s="1034"/>
      <c r="F109" s="1034"/>
      <c r="G109" s="1121"/>
      <c r="H109" s="1105"/>
      <c r="I109" s="1034"/>
      <c r="J109" s="1121"/>
      <c r="K109" s="1105"/>
      <c r="L109" s="1034"/>
      <c r="M109" s="1163"/>
      <c r="N109" s="1097"/>
      <c r="O109" s="1025"/>
      <c r="P109" s="1113"/>
      <c r="Q109" s="1097"/>
      <c r="R109" s="1035"/>
      <c r="S109" s="1035"/>
    </row>
    <row r="110" spans="1:22" s="90" customFormat="1" ht="13.5" customHeight="1" x14ac:dyDescent="0.15">
      <c r="A110" s="766"/>
      <c r="B110" s="1038"/>
      <c r="C110" s="1037"/>
      <c r="D110" s="1034"/>
      <c r="E110" s="1034"/>
      <c r="F110" s="1034"/>
      <c r="G110" s="1121"/>
      <c r="H110" s="1105"/>
      <c r="I110" s="1034"/>
      <c r="J110" s="1121"/>
      <c r="K110" s="1105"/>
      <c r="L110" s="1034"/>
      <c r="M110" s="1163"/>
      <c r="N110" s="1102"/>
      <c r="O110" s="1026"/>
      <c r="P110" s="1118"/>
      <c r="Q110" s="1102"/>
      <c r="R110" s="1071"/>
      <c r="S110" s="1071"/>
    </row>
    <row r="111" spans="1:22" s="90" customFormat="1" ht="15.75" customHeight="1" x14ac:dyDescent="0.15">
      <c r="A111" s="766"/>
      <c r="B111" s="1036" t="s">
        <v>509</v>
      </c>
      <c r="C111" s="1037" t="s">
        <v>507</v>
      </c>
      <c r="D111" s="1034"/>
      <c r="E111" s="1034"/>
      <c r="F111" s="1034"/>
      <c r="G111" s="1121"/>
      <c r="H111" s="1105"/>
      <c r="I111" s="1034"/>
      <c r="J111" s="1121"/>
      <c r="K111" s="1105"/>
      <c r="L111" s="1034"/>
      <c r="M111" s="1163"/>
      <c r="N111" s="1102"/>
      <c r="O111" s="1026"/>
      <c r="P111" s="1118"/>
      <c r="Q111" s="1102"/>
      <c r="R111" s="1071"/>
      <c r="S111" s="1071"/>
    </row>
    <row r="112" spans="1:22" s="603" customFormat="1" ht="21.75" customHeight="1" x14ac:dyDescent="0.2">
      <c r="A112" s="767"/>
      <c r="B112" s="1038" t="s">
        <v>479</v>
      </c>
      <c r="C112" s="1023" t="s">
        <v>1396</v>
      </c>
      <c r="D112" s="1030" t="s">
        <v>306</v>
      </c>
      <c r="E112" s="1024">
        <v>1500</v>
      </c>
      <c r="F112" s="1024"/>
      <c r="G112" s="1119"/>
      <c r="H112" s="1103">
        <v>464</v>
      </c>
      <c r="I112" s="1024"/>
      <c r="J112" s="1119"/>
      <c r="K112" s="1111">
        <f>SUM(E112:H112)</f>
        <v>1964</v>
      </c>
      <c r="L112" s="1047"/>
      <c r="M112" s="1164"/>
      <c r="N112" s="1103"/>
      <c r="O112" s="1024"/>
      <c r="P112" s="1119"/>
      <c r="Q112" s="1103">
        <v>1964</v>
      </c>
      <c r="R112" s="1072"/>
      <c r="S112" s="1072"/>
    </row>
    <row r="113" spans="1:28" s="90" customFormat="1" ht="21.75" customHeight="1" x14ac:dyDescent="0.15">
      <c r="A113" s="766"/>
      <c r="B113" s="1038" t="s">
        <v>487</v>
      </c>
      <c r="C113" s="1023" t="s">
        <v>978</v>
      </c>
      <c r="D113" s="1030" t="s">
        <v>306</v>
      </c>
      <c r="E113" s="1030">
        <v>5500</v>
      </c>
      <c r="F113" s="1030"/>
      <c r="G113" s="1123"/>
      <c r="H113" s="1107">
        <v>1704</v>
      </c>
      <c r="I113" s="1030"/>
      <c r="J113" s="1123"/>
      <c r="K113" s="1110">
        <f>SUM(E113:H113)</f>
        <v>7204</v>
      </c>
      <c r="L113" s="1062"/>
      <c r="M113" s="1167"/>
      <c r="N113" s="1103">
        <v>2833</v>
      </c>
      <c r="O113" s="1024"/>
      <c r="P113" s="1119"/>
      <c r="Q113" s="1146">
        <v>4371</v>
      </c>
      <c r="R113" s="1071"/>
      <c r="S113" s="1071"/>
      <c r="AB113" s="437"/>
    </row>
    <row r="114" spans="1:28" s="90" customFormat="1" ht="12.75" customHeight="1" x14ac:dyDescent="0.15">
      <c r="A114" s="766"/>
      <c r="B114" s="1038"/>
      <c r="C114" s="1023"/>
      <c r="D114" s="1030"/>
      <c r="E114" s="1030"/>
      <c r="F114" s="1030"/>
      <c r="G114" s="1123"/>
      <c r="H114" s="1107"/>
      <c r="I114" s="1030"/>
      <c r="J114" s="1123"/>
      <c r="K114" s="1110"/>
      <c r="L114" s="1062"/>
      <c r="M114" s="1167"/>
      <c r="N114" s="1103"/>
      <c r="O114" s="1024"/>
      <c r="P114" s="1119"/>
      <c r="Q114" s="1103"/>
      <c r="R114" s="1071"/>
      <c r="S114" s="1071"/>
    </row>
    <row r="115" spans="1:28" s="90" customFormat="1" ht="21.75" customHeight="1" x14ac:dyDescent="0.15">
      <c r="A115" s="766"/>
      <c r="B115" s="1038"/>
      <c r="C115" s="1037" t="s">
        <v>508</v>
      </c>
      <c r="D115" s="1034"/>
      <c r="E115" s="1047">
        <f>SUM(E112:E113)</f>
        <v>7000</v>
      </c>
      <c r="F115" s="1047"/>
      <c r="G115" s="1127"/>
      <c r="H115" s="1111">
        <f>SUM(H112:H113)</f>
        <v>2168</v>
      </c>
      <c r="I115" s="1047"/>
      <c r="J115" s="1127"/>
      <c r="K115" s="1111">
        <f>SUM(K112:K113)</f>
        <v>9168</v>
      </c>
      <c r="L115" s="1047"/>
      <c r="M115" s="1164"/>
      <c r="N115" s="1111">
        <f>SUM(N112:N113)</f>
        <v>2833</v>
      </c>
      <c r="O115" s="1047"/>
      <c r="P115" s="1127"/>
      <c r="Q115" s="1111">
        <f>SUM(Q112:Q113)</f>
        <v>6335</v>
      </c>
      <c r="R115" s="1071"/>
      <c r="S115" s="1071"/>
    </row>
    <row r="116" spans="1:28" s="90" customFormat="1" ht="13.5" customHeight="1" x14ac:dyDescent="0.15">
      <c r="A116" s="766"/>
      <c r="B116" s="1038"/>
      <c r="C116" s="1037"/>
      <c r="D116" s="1034"/>
      <c r="E116" s="1034"/>
      <c r="F116" s="1034"/>
      <c r="G116" s="1121"/>
      <c r="H116" s="1105"/>
      <c r="I116" s="1034"/>
      <c r="J116" s="1121"/>
      <c r="K116" s="1105"/>
      <c r="L116" s="1034"/>
      <c r="M116" s="1163"/>
      <c r="N116" s="1102"/>
      <c r="O116" s="1026"/>
      <c r="P116" s="1118"/>
      <c r="Q116" s="1102"/>
      <c r="R116" s="1071"/>
      <c r="S116" s="1071"/>
    </row>
    <row r="117" spans="1:28" s="90" customFormat="1" ht="13.5" customHeight="1" x14ac:dyDescent="0.15">
      <c r="A117" s="766"/>
      <c r="B117" s="1036" t="s">
        <v>175</v>
      </c>
      <c r="C117" s="1037" t="s">
        <v>75</v>
      </c>
      <c r="D117" s="1034"/>
      <c r="E117" s="1026"/>
      <c r="F117" s="1026"/>
      <c r="G117" s="1118"/>
      <c r="H117" s="1102"/>
      <c r="I117" s="1026"/>
      <c r="J117" s="1118"/>
      <c r="K117" s="1102"/>
      <c r="L117" s="1026"/>
      <c r="M117" s="1159"/>
      <c r="N117" s="1102"/>
      <c r="O117" s="1026"/>
      <c r="P117" s="1118"/>
      <c r="Q117" s="1102"/>
      <c r="R117" s="1071"/>
      <c r="S117" s="1071"/>
    </row>
    <row r="118" spans="1:28" s="79" customFormat="1" ht="17.25" customHeight="1" x14ac:dyDescent="0.2">
      <c r="A118" s="768"/>
      <c r="B118" s="1038" t="s">
        <v>479</v>
      </c>
      <c r="C118" s="1023" t="s">
        <v>1226</v>
      </c>
      <c r="D118" s="1030" t="s">
        <v>308</v>
      </c>
      <c r="E118" s="1024">
        <v>24881</v>
      </c>
      <c r="F118" s="1024"/>
      <c r="G118" s="1119"/>
      <c r="H118" s="1103">
        <v>6719</v>
      </c>
      <c r="I118" s="1024"/>
      <c r="J118" s="1119"/>
      <c r="K118" s="1111">
        <f>E118+H118</f>
        <v>31600</v>
      </c>
      <c r="L118" s="1047"/>
      <c r="M118" s="1164"/>
      <c r="N118" s="1103"/>
      <c r="O118" s="1024"/>
      <c r="P118" s="1119"/>
      <c r="Q118" s="1103">
        <f>K118</f>
        <v>31600</v>
      </c>
      <c r="R118" s="1035"/>
      <c r="S118" s="1035"/>
    </row>
    <row r="119" spans="1:28" s="79" customFormat="1" ht="17.25" customHeight="1" x14ac:dyDescent="0.2">
      <c r="A119" s="768"/>
      <c r="B119" s="1038" t="s">
        <v>487</v>
      </c>
      <c r="C119" s="1023" t="s">
        <v>1286</v>
      </c>
      <c r="D119" s="1030" t="s">
        <v>308</v>
      </c>
      <c r="E119" s="1024">
        <v>3937</v>
      </c>
      <c r="F119" s="1024"/>
      <c r="G119" s="1119"/>
      <c r="H119" s="1103">
        <v>1063</v>
      </c>
      <c r="I119" s="1024"/>
      <c r="J119" s="1119"/>
      <c r="K119" s="1111">
        <f>E119+H119</f>
        <v>5000</v>
      </c>
      <c r="L119" s="1047"/>
      <c r="M119" s="1164"/>
      <c r="N119" s="1103"/>
      <c r="O119" s="1024"/>
      <c r="P119" s="1119"/>
      <c r="Q119" s="1103">
        <f>K119</f>
        <v>5000</v>
      </c>
      <c r="R119" s="1035"/>
      <c r="S119" s="1035"/>
    </row>
    <row r="120" spans="1:28" s="79" customFormat="1" ht="17.25" customHeight="1" x14ac:dyDescent="0.2">
      <c r="A120" s="768"/>
      <c r="B120" s="1038" t="s">
        <v>488</v>
      </c>
      <c r="C120" s="1023" t="s">
        <v>1386</v>
      </c>
      <c r="D120" s="1030" t="s">
        <v>308</v>
      </c>
      <c r="E120" s="1024">
        <v>787</v>
      </c>
      <c r="F120" s="1024"/>
      <c r="G120" s="1119"/>
      <c r="H120" s="1103">
        <v>213</v>
      </c>
      <c r="I120" s="1024"/>
      <c r="J120" s="1119"/>
      <c r="K120" s="1111">
        <f>E120+H120</f>
        <v>1000</v>
      </c>
      <c r="L120" s="1047"/>
      <c r="M120" s="1164"/>
      <c r="N120" s="1103">
        <f>K120</f>
        <v>1000</v>
      </c>
      <c r="O120" s="1024"/>
      <c r="P120" s="1119"/>
      <c r="Q120" s="1103"/>
      <c r="R120" s="1035"/>
      <c r="S120" s="1035"/>
    </row>
    <row r="121" spans="1:28" s="79" customFormat="1" ht="17.25" customHeight="1" x14ac:dyDescent="0.2">
      <c r="A121" s="768"/>
      <c r="B121" s="1038"/>
      <c r="C121" s="1023"/>
      <c r="D121" s="1030"/>
      <c r="E121" s="1024"/>
      <c r="F121" s="1024"/>
      <c r="G121" s="1119"/>
      <c r="H121" s="1103"/>
      <c r="I121" s="1024"/>
      <c r="J121" s="1119"/>
      <c r="K121" s="1111"/>
      <c r="L121" s="1047"/>
      <c r="M121" s="1164"/>
      <c r="N121" s="1103"/>
      <c r="O121" s="1024"/>
      <c r="P121" s="1119"/>
      <c r="Q121" s="1103"/>
      <c r="R121" s="1035"/>
      <c r="S121" s="1035"/>
    </row>
    <row r="122" spans="1:28" s="79" customFormat="1" ht="10.5" customHeight="1" x14ac:dyDescent="0.2">
      <c r="A122" s="768"/>
      <c r="B122" s="1038"/>
      <c r="C122" s="1023"/>
      <c r="D122" s="1030"/>
      <c r="E122" s="1073"/>
      <c r="F122" s="1073"/>
      <c r="G122" s="1128"/>
      <c r="H122" s="1112"/>
      <c r="I122" s="1073"/>
      <c r="J122" s="1128"/>
      <c r="K122" s="1134"/>
      <c r="L122" s="1074"/>
      <c r="M122" s="1170"/>
      <c r="N122" s="1112"/>
      <c r="O122" s="1073"/>
      <c r="P122" s="1128"/>
      <c r="Q122" s="1112"/>
      <c r="R122" s="1035"/>
      <c r="S122" s="1035"/>
    </row>
    <row r="123" spans="1:28" s="79" customFormat="1" ht="21.75" customHeight="1" x14ac:dyDescent="0.2">
      <c r="A123" s="768"/>
      <c r="B123" s="1038"/>
      <c r="C123" s="1037" t="s">
        <v>74</v>
      </c>
      <c r="D123" s="1062"/>
      <c r="E123" s="1062">
        <f>SUM(E118:E120)</f>
        <v>29605</v>
      </c>
      <c r="F123" s="1062"/>
      <c r="G123" s="1126"/>
      <c r="H123" s="1110">
        <f t="shared" ref="H123:Q123" si="15">SUM(H118:H120)</f>
        <v>7995</v>
      </c>
      <c r="I123" s="1062"/>
      <c r="J123" s="1126"/>
      <c r="K123" s="1110">
        <f t="shared" si="15"/>
        <v>37600</v>
      </c>
      <c r="L123" s="1062"/>
      <c r="M123" s="1167"/>
      <c r="N123" s="1110">
        <f t="shared" si="15"/>
        <v>1000</v>
      </c>
      <c r="O123" s="1062"/>
      <c r="P123" s="1126"/>
      <c r="Q123" s="1110">
        <f t="shared" si="15"/>
        <v>36600</v>
      </c>
      <c r="R123" s="1035"/>
      <c r="S123" s="1035"/>
    </row>
    <row r="124" spans="1:28" s="79" customFormat="1" ht="13.5" customHeight="1" x14ac:dyDescent="0.2">
      <c r="A124" s="768"/>
      <c r="B124" s="1038"/>
      <c r="C124" s="1023"/>
      <c r="D124" s="1031"/>
      <c r="E124" s="1031"/>
      <c r="F124" s="1031"/>
      <c r="G124" s="1117"/>
      <c r="H124" s="1101"/>
      <c r="I124" s="1031"/>
      <c r="J124" s="1117"/>
      <c r="K124" s="1101"/>
      <c r="L124" s="1031"/>
      <c r="M124" s="1168"/>
      <c r="N124" s="1097"/>
      <c r="O124" s="1025"/>
      <c r="P124" s="1113"/>
      <c r="Q124" s="1097"/>
      <c r="R124" s="1035"/>
      <c r="S124" s="1035"/>
    </row>
    <row r="125" spans="1:28" s="90" customFormat="1" ht="26.25" customHeight="1" x14ac:dyDescent="0.2">
      <c r="A125" s="766"/>
      <c r="B125" s="1038"/>
      <c r="C125" s="1037" t="s">
        <v>948</v>
      </c>
      <c r="D125" s="1034"/>
      <c r="E125" s="1031"/>
      <c r="F125" s="1031"/>
      <c r="G125" s="1117"/>
      <c r="H125" s="1101"/>
      <c r="I125" s="1031"/>
      <c r="J125" s="1117"/>
      <c r="K125" s="1105"/>
      <c r="L125" s="1034"/>
      <c r="M125" s="1163"/>
      <c r="N125" s="1102"/>
      <c r="O125" s="1026"/>
      <c r="P125" s="1118"/>
      <c r="Q125" s="1102"/>
      <c r="R125" s="1071"/>
      <c r="S125" s="1071"/>
    </row>
    <row r="126" spans="1:28" s="90" customFormat="1" ht="21.75" customHeight="1" x14ac:dyDescent="0.15">
      <c r="A126" s="766"/>
      <c r="B126" s="1038" t="s">
        <v>479</v>
      </c>
      <c r="C126" s="1075" t="s">
        <v>1139</v>
      </c>
      <c r="D126" s="1030" t="s">
        <v>306</v>
      </c>
      <c r="E126" s="1024">
        <v>958</v>
      </c>
      <c r="F126" s="1024"/>
      <c r="G126" s="1119"/>
      <c r="H126" s="1103">
        <v>258</v>
      </c>
      <c r="I126" s="1024"/>
      <c r="J126" s="1119"/>
      <c r="K126" s="1111">
        <f>SUM(E126:H126)</f>
        <v>1216</v>
      </c>
      <c r="L126" s="1047"/>
      <c r="M126" s="1164"/>
      <c r="N126" s="1111"/>
      <c r="O126" s="1047"/>
      <c r="P126" s="1127"/>
      <c r="Q126" s="1103">
        <f>K126</f>
        <v>1216</v>
      </c>
      <c r="R126" s="1071"/>
      <c r="S126" s="1071"/>
    </row>
    <row r="127" spans="1:28" s="90" customFormat="1" ht="21.75" customHeight="1" x14ac:dyDescent="0.15">
      <c r="A127" s="766"/>
      <c r="B127" s="1038" t="s">
        <v>487</v>
      </c>
      <c r="C127" s="1075" t="s">
        <v>1287</v>
      </c>
      <c r="D127" s="1030" t="s">
        <v>306</v>
      </c>
      <c r="E127" s="1024">
        <v>1011</v>
      </c>
      <c r="F127" s="1024"/>
      <c r="G127" s="1119"/>
      <c r="H127" s="1103">
        <v>273</v>
      </c>
      <c r="I127" s="1024"/>
      <c r="J127" s="1119"/>
      <c r="K127" s="1111">
        <f>E127+H127</f>
        <v>1284</v>
      </c>
      <c r="L127" s="1047"/>
      <c r="M127" s="1164"/>
      <c r="N127" s="1111"/>
      <c r="O127" s="1047"/>
      <c r="P127" s="1127"/>
      <c r="Q127" s="1103">
        <f>K127</f>
        <v>1284</v>
      </c>
      <c r="R127" s="1071"/>
      <c r="S127" s="1071"/>
    </row>
    <row r="128" spans="1:28" s="90" customFormat="1" ht="21.75" customHeight="1" x14ac:dyDescent="0.15">
      <c r="A128" s="766"/>
      <c r="B128" s="1038" t="s">
        <v>488</v>
      </c>
      <c r="C128" s="1075" t="s">
        <v>1288</v>
      </c>
      <c r="D128" s="1030" t="s">
        <v>306</v>
      </c>
      <c r="E128" s="1024">
        <v>1969</v>
      </c>
      <c r="F128" s="1024"/>
      <c r="G128" s="1119"/>
      <c r="H128" s="1103">
        <v>531</v>
      </c>
      <c r="I128" s="1024"/>
      <c r="J128" s="1119"/>
      <c r="K128" s="1111">
        <f>E128+H128</f>
        <v>2500</v>
      </c>
      <c r="L128" s="1047"/>
      <c r="M128" s="1164"/>
      <c r="N128" s="1111">
        <f>K128</f>
        <v>2500</v>
      </c>
      <c r="O128" s="1047"/>
      <c r="P128" s="1127"/>
      <c r="Q128" s="1103"/>
      <c r="R128" s="1071"/>
      <c r="S128" s="1071"/>
    </row>
    <row r="129" spans="1:19" s="90" customFormat="1" ht="21.75" customHeight="1" x14ac:dyDescent="0.15">
      <c r="A129" s="766"/>
      <c r="B129" s="1038"/>
      <c r="C129" s="1075"/>
      <c r="D129" s="1030"/>
      <c r="E129" s="1024"/>
      <c r="F129" s="1024"/>
      <c r="G129" s="1119"/>
      <c r="H129" s="1103"/>
      <c r="I129" s="1024"/>
      <c r="J129" s="1119"/>
      <c r="K129" s="1111"/>
      <c r="L129" s="1047"/>
      <c r="M129" s="1164"/>
      <c r="N129" s="1111"/>
      <c r="O129" s="1047"/>
      <c r="P129" s="1127"/>
      <c r="Q129" s="1103"/>
      <c r="R129" s="1071"/>
      <c r="S129" s="1071"/>
    </row>
    <row r="130" spans="1:19" s="90" customFormat="1" ht="12" customHeight="1" x14ac:dyDescent="0.2">
      <c r="A130" s="766"/>
      <c r="B130" s="1038"/>
      <c r="C130" s="1076"/>
      <c r="D130" s="1067"/>
      <c r="E130" s="1025"/>
      <c r="F130" s="1025"/>
      <c r="G130" s="1113"/>
      <c r="H130" s="1097"/>
      <c r="I130" s="1025"/>
      <c r="J130" s="1113"/>
      <c r="K130" s="1097"/>
      <c r="L130" s="1025"/>
      <c r="M130" s="1171"/>
      <c r="N130" s="1102"/>
      <c r="O130" s="1026"/>
      <c r="P130" s="1118"/>
      <c r="Q130" s="1097"/>
      <c r="R130" s="1071"/>
      <c r="S130" s="1071"/>
    </row>
    <row r="131" spans="1:19" s="90" customFormat="1" ht="21.75" customHeight="1" x14ac:dyDescent="0.15">
      <c r="A131" s="766"/>
      <c r="B131" s="1036"/>
      <c r="C131" s="1037" t="s">
        <v>947</v>
      </c>
      <c r="D131" s="1062"/>
      <c r="E131" s="1062">
        <f>SUM(E126:E130)</f>
        <v>3938</v>
      </c>
      <c r="F131" s="1062"/>
      <c r="G131" s="1126"/>
      <c r="H131" s="1110">
        <f>SUM(H126:H130)</f>
        <v>1062</v>
      </c>
      <c r="I131" s="1062"/>
      <c r="J131" s="1126"/>
      <c r="K131" s="1110">
        <f>SUM(K126:K130)</f>
        <v>5000</v>
      </c>
      <c r="L131" s="1062"/>
      <c r="M131" s="1167"/>
      <c r="N131" s="1110">
        <f>SUM(N126:N130)</f>
        <v>2500</v>
      </c>
      <c r="O131" s="1062"/>
      <c r="P131" s="1126"/>
      <c r="Q131" s="1110">
        <f>SUM(Q126:Q130)</f>
        <v>2500</v>
      </c>
      <c r="R131" s="1071"/>
      <c r="S131" s="1071"/>
    </row>
    <row r="132" spans="1:19" s="90" customFormat="1" ht="13.5" customHeight="1" x14ac:dyDescent="0.15">
      <c r="A132" s="766"/>
      <c r="B132" s="1036"/>
      <c r="C132" s="1037"/>
      <c r="D132" s="1034"/>
      <c r="E132" s="1034"/>
      <c r="F132" s="1034"/>
      <c r="G132" s="1121"/>
      <c r="H132" s="1105"/>
      <c r="I132" s="1034"/>
      <c r="J132" s="1121"/>
      <c r="K132" s="1105"/>
      <c r="L132" s="1034"/>
      <c r="M132" s="1163"/>
      <c r="N132" s="1105"/>
      <c r="O132" s="1034"/>
      <c r="P132" s="1121"/>
      <c r="Q132" s="1105"/>
      <c r="R132" s="1071"/>
      <c r="S132" s="1071"/>
    </row>
    <row r="133" spans="1:19" s="90" customFormat="1" ht="13.5" customHeight="1" x14ac:dyDescent="0.15">
      <c r="A133" s="766"/>
      <c r="B133" s="1036"/>
      <c r="C133" s="1037" t="s">
        <v>691</v>
      </c>
      <c r="D133" s="1034"/>
      <c r="E133" s="1034"/>
      <c r="F133" s="1034"/>
      <c r="G133" s="1121"/>
      <c r="H133" s="1105"/>
      <c r="I133" s="1034"/>
      <c r="J133" s="1121"/>
      <c r="K133" s="1105"/>
      <c r="L133" s="1034"/>
      <c r="M133" s="1163"/>
      <c r="N133" s="1105"/>
      <c r="O133" s="1034"/>
      <c r="P133" s="1121"/>
      <c r="Q133" s="1105"/>
      <c r="R133" s="1071"/>
      <c r="S133" s="1071"/>
    </row>
    <row r="134" spans="1:19" s="603" customFormat="1" ht="21.75" customHeight="1" x14ac:dyDescent="0.2">
      <c r="A134" s="767"/>
      <c r="B134" s="1038" t="s">
        <v>479</v>
      </c>
      <c r="C134" s="1023" t="s">
        <v>1139</v>
      </c>
      <c r="D134" s="1030" t="s">
        <v>306</v>
      </c>
      <c r="E134" s="1024">
        <v>1874</v>
      </c>
      <c r="F134" s="1024"/>
      <c r="G134" s="1119"/>
      <c r="H134" s="1103">
        <v>506</v>
      </c>
      <c r="I134" s="1024"/>
      <c r="J134" s="1119"/>
      <c r="K134" s="1111">
        <f>SUM(E134:H134)</f>
        <v>2380</v>
      </c>
      <c r="L134" s="1047"/>
      <c r="M134" s="1164"/>
      <c r="N134" s="1103">
        <v>0</v>
      </c>
      <c r="O134" s="1024"/>
      <c r="P134" s="1119"/>
      <c r="Q134" s="1103">
        <f>K134</f>
        <v>2380</v>
      </c>
      <c r="R134" s="1072"/>
      <c r="S134" s="1072"/>
    </row>
    <row r="135" spans="1:19" s="603" customFormat="1" ht="21.75" customHeight="1" x14ac:dyDescent="0.2">
      <c r="A135" s="767"/>
      <c r="B135" s="1038"/>
      <c r="C135" s="1023"/>
      <c r="D135" s="1030"/>
      <c r="E135" s="1024"/>
      <c r="F135" s="1024"/>
      <c r="G135" s="1119"/>
      <c r="H135" s="1103"/>
      <c r="I135" s="1024"/>
      <c r="J135" s="1119"/>
      <c r="K135" s="1111"/>
      <c r="L135" s="1047"/>
      <c r="M135" s="1164"/>
      <c r="N135" s="1103"/>
      <c r="O135" s="1024"/>
      <c r="P135" s="1119"/>
      <c r="Q135" s="1103"/>
      <c r="R135" s="1072"/>
      <c r="S135" s="1072"/>
    </row>
    <row r="136" spans="1:19" s="603" customFormat="1" ht="12.75" customHeight="1" x14ac:dyDescent="0.2">
      <c r="A136" s="767"/>
      <c r="B136" s="1038"/>
      <c r="C136" s="1023"/>
      <c r="D136" s="1030"/>
      <c r="E136" s="1030"/>
      <c r="F136" s="1030"/>
      <c r="G136" s="1123"/>
      <c r="H136" s="1107"/>
      <c r="I136" s="1030"/>
      <c r="J136" s="1123"/>
      <c r="K136" s="1110"/>
      <c r="L136" s="1062"/>
      <c r="M136" s="1167"/>
      <c r="N136" s="1107"/>
      <c r="O136" s="1030"/>
      <c r="P136" s="1123"/>
      <c r="Q136" s="1107"/>
      <c r="R136" s="1072"/>
      <c r="S136" s="1072"/>
    </row>
    <row r="137" spans="1:19" s="90" customFormat="1" ht="21.75" customHeight="1" x14ac:dyDescent="0.15">
      <c r="A137" s="766"/>
      <c r="B137" s="1036"/>
      <c r="C137" s="1037" t="s">
        <v>16</v>
      </c>
      <c r="D137" s="1062"/>
      <c r="E137" s="1062">
        <f>SUM(E134:E136)</f>
        <v>1874</v>
      </c>
      <c r="F137" s="1062"/>
      <c r="G137" s="1126"/>
      <c r="H137" s="1110">
        <f>SUM(H134:H136)</f>
        <v>506</v>
      </c>
      <c r="I137" s="1062"/>
      <c r="J137" s="1126"/>
      <c r="K137" s="1110">
        <f>SUM(K134:K136)</f>
        <v>2380</v>
      </c>
      <c r="L137" s="1062"/>
      <c r="M137" s="1167"/>
      <c r="N137" s="1110">
        <f>SUM(N134:N136)</f>
        <v>0</v>
      </c>
      <c r="O137" s="1062"/>
      <c r="P137" s="1126"/>
      <c r="Q137" s="1110">
        <f>SUM(Q134:Q136)</f>
        <v>2380</v>
      </c>
      <c r="R137" s="1071"/>
      <c r="S137" s="1071"/>
    </row>
    <row r="138" spans="1:19" s="90" customFormat="1" ht="13.5" customHeight="1" x14ac:dyDescent="0.15">
      <c r="A138" s="766"/>
      <c r="B138" s="1036"/>
      <c r="C138" s="1037"/>
      <c r="D138" s="1034"/>
      <c r="E138" s="1034"/>
      <c r="F138" s="1034"/>
      <c r="G138" s="1121"/>
      <c r="H138" s="1105"/>
      <c r="I138" s="1034"/>
      <c r="J138" s="1121"/>
      <c r="K138" s="1105"/>
      <c r="L138" s="1034"/>
      <c r="M138" s="1163"/>
      <c r="N138" s="1105"/>
      <c r="O138" s="1034"/>
      <c r="P138" s="1121"/>
      <c r="Q138" s="1105"/>
      <c r="R138" s="1071"/>
      <c r="S138" s="1071"/>
    </row>
    <row r="139" spans="1:19" s="90" customFormat="1" ht="13.5" customHeight="1" x14ac:dyDescent="0.15">
      <c r="A139" s="766"/>
      <c r="B139" s="1036"/>
      <c r="C139" s="1037" t="s">
        <v>1114</v>
      </c>
      <c r="D139" s="1034"/>
      <c r="E139" s="1034"/>
      <c r="F139" s="1034"/>
      <c r="G139" s="1121"/>
      <c r="H139" s="1105"/>
      <c r="I139" s="1034"/>
      <c r="J139" s="1121"/>
      <c r="K139" s="1105"/>
      <c r="L139" s="1034"/>
      <c r="M139" s="1163"/>
      <c r="N139" s="1105"/>
      <c r="O139" s="1034"/>
      <c r="P139" s="1121"/>
      <c r="Q139" s="1105"/>
      <c r="R139" s="1071"/>
      <c r="S139" s="1071"/>
    </row>
    <row r="140" spans="1:19" s="603" customFormat="1" ht="21.75" customHeight="1" x14ac:dyDescent="0.2">
      <c r="A140" s="767"/>
      <c r="B140" s="1038" t="s">
        <v>479</v>
      </c>
      <c r="C140" s="1023" t="s">
        <v>184</v>
      </c>
      <c r="D140" s="1030" t="s">
        <v>306</v>
      </c>
      <c r="E140" s="1024">
        <v>393</v>
      </c>
      <c r="F140" s="1024"/>
      <c r="G140" s="1119"/>
      <c r="H140" s="1103">
        <v>107</v>
      </c>
      <c r="I140" s="1024"/>
      <c r="J140" s="1119"/>
      <c r="K140" s="1111">
        <f>E140+H140</f>
        <v>500</v>
      </c>
      <c r="L140" s="1047"/>
      <c r="M140" s="1164"/>
      <c r="N140" s="1103">
        <f>K140</f>
        <v>500</v>
      </c>
      <c r="O140" s="1024"/>
      <c r="P140" s="1119"/>
      <c r="Q140" s="1110"/>
      <c r="R140" s="1072"/>
      <c r="S140" s="1072"/>
    </row>
    <row r="141" spans="1:19" s="603" customFormat="1" ht="21.75" customHeight="1" x14ac:dyDescent="0.2">
      <c r="A141" s="767"/>
      <c r="B141" s="1038" t="s">
        <v>487</v>
      </c>
      <c r="C141" s="1023" t="s">
        <v>1140</v>
      </c>
      <c r="D141" s="1030" t="s">
        <v>306</v>
      </c>
      <c r="E141" s="1024">
        <v>1181</v>
      </c>
      <c r="F141" s="1024"/>
      <c r="G141" s="1119"/>
      <c r="H141" s="1103">
        <v>319</v>
      </c>
      <c r="I141" s="1024"/>
      <c r="J141" s="1119"/>
      <c r="K141" s="1111">
        <f>SUM(E141:H141)</f>
        <v>1500</v>
      </c>
      <c r="L141" s="1047"/>
      <c r="M141" s="1164"/>
      <c r="N141" s="1103">
        <f>K141</f>
        <v>1500</v>
      </c>
      <c r="O141" s="1024"/>
      <c r="P141" s="1119"/>
      <c r="Q141" s="1110"/>
      <c r="R141" s="1072"/>
      <c r="S141" s="1072"/>
    </row>
    <row r="142" spans="1:19" s="603" customFormat="1" ht="21.75" customHeight="1" x14ac:dyDescent="0.2">
      <c r="A142" s="767"/>
      <c r="B142" s="1038"/>
      <c r="C142" s="1023"/>
      <c r="D142" s="1030"/>
      <c r="E142" s="1024"/>
      <c r="F142" s="1024"/>
      <c r="G142" s="1119"/>
      <c r="H142" s="1103"/>
      <c r="I142" s="1024"/>
      <c r="J142" s="1119"/>
      <c r="K142" s="1111"/>
      <c r="L142" s="1047"/>
      <c r="M142" s="1164"/>
      <c r="N142" s="1103"/>
      <c r="O142" s="1024"/>
      <c r="P142" s="1119"/>
      <c r="Q142" s="1110"/>
      <c r="R142" s="1072"/>
      <c r="S142" s="1072"/>
    </row>
    <row r="143" spans="1:19" s="603" customFormat="1" ht="12" customHeight="1" x14ac:dyDescent="0.2">
      <c r="A143" s="767"/>
      <c r="B143" s="1038"/>
      <c r="C143" s="1023"/>
      <c r="D143" s="1030"/>
      <c r="E143" s="1030"/>
      <c r="F143" s="1030"/>
      <c r="G143" s="1123"/>
      <c r="H143" s="1107"/>
      <c r="I143" s="1030"/>
      <c r="J143" s="1123"/>
      <c r="K143" s="1110"/>
      <c r="L143" s="1062"/>
      <c r="M143" s="1167"/>
      <c r="N143" s="1107"/>
      <c r="O143" s="1030"/>
      <c r="P143" s="1123"/>
      <c r="Q143" s="1110"/>
      <c r="R143" s="1072"/>
      <c r="S143" s="1072"/>
    </row>
    <row r="144" spans="1:19" s="603" customFormat="1" ht="21.75" customHeight="1" x14ac:dyDescent="0.2">
      <c r="A144" s="767"/>
      <c r="B144" s="1036"/>
      <c r="C144" s="1037" t="s">
        <v>185</v>
      </c>
      <c r="D144" s="1062"/>
      <c r="E144" s="1062">
        <f>SUM(E140:E141)</f>
        <v>1574</v>
      </c>
      <c r="F144" s="1062"/>
      <c r="G144" s="1126"/>
      <c r="H144" s="1110">
        <f>SUM(H140:H141)</f>
        <v>426</v>
      </c>
      <c r="I144" s="1062"/>
      <c r="J144" s="1126"/>
      <c r="K144" s="1110">
        <f>SUM(K140:K141)</f>
        <v>2000</v>
      </c>
      <c r="L144" s="1062"/>
      <c r="M144" s="1167"/>
      <c r="N144" s="1110">
        <f>SUM(N140:N141)</f>
        <v>2000</v>
      </c>
      <c r="O144" s="1062"/>
      <c r="P144" s="1126"/>
      <c r="Q144" s="1110"/>
      <c r="R144" s="1072"/>
      <c r="S144" s="1072"/>
    </row>
    <row r="145" spans="1:23" s="90" customFormat="1" ht="13.5" customHeight="1" x14ac:dyDescent="0.2">
      <c r="A145" s="766"/>
      <c r="B145" s="1038"/>
      <c r="C145" s="1023"/>
      <c r="D145" s="1031"/>
      <c r="E145" s="1031"/>
      <c r="F145" s="1031"/>
      <c r="G145" s="1117"/>
      <c r="H145" s="1101"/>
      <c r="I145" s="1031"/>
      <c r="J145" s="1117"/>
      <c r="K145" s="1105"/>
      <c r="L145" s="1034"/>
      <c r="M145" s="1163"/>
      <c r="N145" s="1102"/>
      <c r="O145" s="1026"/>
      <c r="P145" s="1118"/>
      <c r="Q145" s="1102"/>
      <c r="R145" s="1071"/>
      <c r="S145" s="1071"/>
      <c r="W145" s="437"/>
    </row>
    <row r="146" spans="1:23" s="90" customFormat="1" ht="13.5" customHeight="1" x14ac:dyDescent="0.15">
      <c r="A146" s="766"/>
      <c r="B146" s="1036" t="s">
        <v>510</v>
      </c>
      <c r="C146" s="1037" t="s">
        <v>511</v>
      </c>
      <c r="D146" s="1034"/>
      <c r="E146" s="1034"/>
      <c r="F146" s="1034"/>
      <c r="G146" s="1121"/>
      <c r="H146" s="1105"/>
      <c r="I146" s="1034"/>
      <c r="J146" s="1121"/>
      <c r="K146" s="1105"/>
      <c r="L146" s="1034"/>
      <c r="M146" s="1163"/>
      <c r="N146" s="1102"/>
      <c r="O146" s="1026"/>
      <c r="P146" s="1118"/>
      <c r="Q146" s="1102"/>
      <c r="R146" s="1071"/>
      <c r="S146" s="1071"/>
    </row>
    <row r="147" spans="1:23" s="90" customFormat="1" ht="11.25" customHeight="1" x14ac:dyDescent="0.2">
      <c r="A147" s="766"/>
      <c r="B147" s="1038"/>
      <c r="C147" s="1023"/>
      <c r="D147" s="1031"/>
      <c r="E147" s="1031"/>
      <c r="F147" s="1031"/>
      <c r="G147" s="1117"/>
      <c r="H147" s="1101"/>
      <c r="I147" s="1031"/>
      <c r="J147" s="1117"/>
      <c r="K147" s="1105"/>
      <c r="L147" s="1034"/>
      <c r="M147" s="1163"/>
      <c r="N147" s="1097"/>
      <c r="O147" s="1025"/>
      <c r="P147" s="1113"/>
      <c r="Q147" s="1147"/>
      <c r="R147" s="1071"/>
      <c r="S147" s="1071"/>
    </row>
    <row r="148" spans="1:23" s="90" customFormat="1" ht="21.75" customHeight="1" x14ac:dyDescent="0.2">
      <c r="A148" s="766"/>
      <c r="B148" s="1038"/>
      <c r="C148" s="1037" t="s">
        <v>512</v>
      </c>
      <c r="D148" s="1031"/>
      <c r="E148" s="1034">
        <f>E146</f>
        <v>0</v>
      </c>
      <c r="F148" s="1034"/>
      <c r="G148" s="1121"/>
      <c r="H148" s="1105">
        <f t="shared" ref="H148:N148" si="16">H146</f>
        <v>0</v>
      </c>
      <c r="I148" s="1034"/>
      <c r="J148" s="1121"/>
      <c r="K148" s="1105">
        <f t="shared" si="16"/>
        <v>0</v>
      </c>
      <c r="L148" s="1034"/>
      <c r="M148" s="1163"/>
      <c r="N148" s="1105">
        <f t="shared" si="16"/>
        <v>0</v>
      </c>
      <c r="O148" s="1034"/>
      <c r="P148" s="1121"/>
      <c r="Q148" s="1105"/>
      <c r="R148" s="1071"/>
      <c r="S148" s="1071"/>
    </row>
    <row r="149" spans="1:23" s="79" customFormat="1" ht="13.5" customHeight="1" x14ac:dyDescent="0.2">
      <c r="A149" s="768"/>
      <c r="B149" s="1038"/>
      <c r="C149" s="1023"/>
      <c r="D149" s="1031"/>
      <c r="E149" s="1031"/>
      <c r="F149" s="1031"/>
      <c r="G149" s="1117"/>
      <c r="H149" s="1101"/>
      <c r="I149" s="1031"/>
      <c r="J149" s="1117"/>
      <c r="K149" s="1105"/>
      <c r="L149" s="1034"/>
      <c r="M149" s="1163"/>
      <c r="N149" s="1097"/>
      <c r="O149" s="1025"/>
      <c r="P149" s="1113"/>
      <c r="Q149" s="1097"/>
      <c r="R149" s="1035"/>
      <c r="S149" s="1035"/>
    </row>
    <row r="150" spans="1:23" s="90" customFormat="1" ht="20.25" customHeight="1" x14ac:dyDescent="0.15">
      <c r="A150" s="766"/>
      <c r="B150" s="1038"/>
      <c r="C150" s="1037" t="s">
        <v>513</v>
      </c>
      <c r="D150" s="1062"/>
      <c r="E150" s="1062">
        <f>E19+E28+E60+E70+E75+E83+E90+E100+E105+E115+E123+E131+E137+E148+E144</f>
        <v>1765614</v>
      </c>
      <c r="F150" s="1062"/>
      <c r="G150" s="1126"/>
      <c r="H150" s="1110">
        <f>H19+H28+H60+H70+H75+H83+H90+H100+H105+H115+H123+H131+H137+H148+H144</f>
        <v>345747</v>
      </c>
      <c r="I150" s="1062"/>
      <c r="J150" s="1126"/>
      <c r="K150" s="1110">
        <f>K19+K28+K60+K70+K75+K83+K90+K100+K105+K115+K123+K131+K137+K148+K144</f>
        <v>2111361</v>
      </c>
      <c r="L150" s="1062"/>
      <c r="M150" s="1167"/>
      <c r="N150" s="1110">
        <f>N19+N28+N60+N70+N75+N83+N90+N100+N105+N115+N123+N131+N137+N148+N144</f>
        <v>1821714</v>
      </c>
      <c r="O150" s="1062"/>
      <c r="P150" s="1126"/>
      <c r="Q150" s="1110">
        <f>Q19+Q28+Q60+Q70+Q75+Q83+Q90+Q100+Q105+Q115+Q123+Q131+Q137+Q148+Q144</f>
        <v>289647</v>
      </c>
      <c r="R150" s="1071"/>
      <c r="S150" s="1071"/>
    </row>
    <row r="153" spans="1:23" ht="14.1" customHeight="1" x14ac:dyDescent="0.2">
      <c r="H153" s="91"/>
      <c r="I153" s="91"/>
      <c r="J153" s="91"/>
      <c r="K153" s="92"/>
      <c r="L153" s="92"/>
      <c r="M153" s="92"/>
    </row>
  </sheetData>
  <sheetProtection selectLockedCells="1" selectUnlockedCells="1"/>
  <mergeCells count="28">
    <mergeCell ref="S8:S9"/>
    <mergeCell ref="N7:S7"/>
    <mergeCell ref="Q5:S5"/>
    <mergeCell ref="E5:G5"/>
    <mergeCell ref="K5:M5"/>
    <mergeCell ref="O8:O9"/>
    <mergeCell ref="P8:P9"/>
    <mergeCell ref="R8:R9"/>
    <mergeCell ref="I8:I9"/>
    <mergeCell ref="J8:J9"/>
    <mergeCell ref="L8:L9"/>
    <mergeCell ref="M8:M9"/>
    <mergeCell ref="H5:J5"/>
    <mergeCell ref="B1:Q1"/>
    <mergeCell ref="B2:Q2"/>
    <mergeCell ref="B4:Q4"/>
    <mergeCell ref="B5:B9"/>
    <mergeCell ref="C8:C9"/>
    <mergeCell ref="D8:D9"/>
    <mergeCell ref="N8:N9"/>
    <mergeCell ref="Q8:Q9"/>
    <mergeCell ref="C3:Q3"/>
    <mergeCell ref="E7:K7"/>
    <mergeCell ref="H8:H9"/>
    <mergeCell ref="K8:K9"/>
    <mergeCell ref="E8:E9"/>
    <mergeCell ref="F8:F9"/>
    <mergeCell ref="G8:G9"/>
  </mergeCells>
  <phoneticPr fontId="33" type="noConversion"/>
  <pageMargins left="0" right="0" top="0.39370078740157483" bottom="0.39370078740157483" header="0.51181102362204722" footer="0.51181102362204722"/>
  <pageSetup paperSize="8" scale="69" firstPageNumber="0" fitToHeight="4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9"/>
  <sheetViews>
    <sheetView workbookViewId="0">
      <selection activeCell="L14" sqref="L14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5" customWidth="1"/>
    <col min="4" max="4" width="14" style="35" customWidth="1"/>
    <col min="5" max="5" width="20.42578125" style="16" customWidth="1"/>
    <col min="6" max="16384" width="9.140625" style="16"/>
  </cols>
  <sheetData>
    <row r="1" spans="1:10" x14ac:dyDescent="0.25">
      <c r="B1" s="17"/>
      <c r="C1" s="23"/>
    </row>
    <row r="2" spans="1:10" x14ac:dyDescent="0.25">
      <c r="A2" s="1525" t="s">
        <v>1388</v>
      </c>
      <c r="B2" s="1525"/>
      <c r="C2" s="1525"/>
      <c r="D2" s="1525"/>
      <c r="E2" s="1525"/>
    </row>
    <row r="3" spans="1:10" x14ac:dyDescent="0.25">
      <c r="B3" s="18"/>
      <c r="C3" s="241"/>
    </row>
    <row r="4" spans="1:10" ht="15" customHeight="1" x14ac:dyDescent="0.25">
      <c r="A4" s="1526" t="s">
        <v>77</v>
      </c>
      <c r="B4" s="1526"/>
      <c r="C4" s="1526"/>
      <c r="D4" s="1526"/>
      <c r="E4" s="1526"/>
    </row>
    <row r="5" spans="1:10" ht="15" customHeight="1" x14ac:dyDescent="0.25">
      <c r="A5" s="1527" t="s">
        <v>1157</v>
      </c>
      <c r="B5" s="1527"/>
      <c r="C5" s="1527"/>
      <c r="D5" s="1527"/>
      <c r="E5" s="1527"/>
    </row>
    <row r="6" spans="1:10" ht="15" customHeight="1" x14ac:dyDescent="0.25">
      <c r="A6" s="1527" t="s">
        <v>519</v>
      </c>
      <c r="B6" s="1527"/>
      <c r="C6" s="1527"/>
      <c r="D6" s="1527"/>
      <c r="E6" s="1527"/>
    </row>
    <row r="7" spans="1:10" ht="15" customHeight="1" x14ac:dyDescent="0.25">
      <c r="B7" s="1527"/>
      <c r="C7" s="1527"/>
    </row>
    <row r="8" spans="1:10" s="19" customFormat="1" ht="20.100000000000001" customHeight="1" x14ac:dyDescent="0.25">
      <c r="A8" s="1528" t="s">
        <v>302</v>
      </c>
      <c r="B8" s="1529"/>
      <c r="C8" s="1529"/>
      <c r="D8" s="1529"/>
      <c r="E8" s="1529"/>
    </row>
    <row r="9" spans="1:10" s="19" customFormat="1" ht="20.100000000000001" customHeight="1" thickBot="1" x14ac:dyDescent="0.3">
      <c r="A9" s="1531" t="s">
        <v>76</v>
      </c>
      <c r="B9" s="357" t="s">
        <v>57</v>
      </c>
      <c r="C9" s="1521" t="s">
        <v>58</v>
      </c>
      <c r="D9" s="1522"/>
      <c r="E9" s="1522"/>
      <c r="F9" s="1522"/>
      <c r="G9" s="1522"/>
      <c r="H9" s="1522"/>
      <c r="I9" s="1522"/>
      <c r="J9" s="1522"/>
    </row>
    <row r="10" spans="1:10" ht="46.5" customHeight="1" x14ac:dyDescent="0.25">
      <c r="A10" s="1531"/>
      <c r="B10" s="1523" t="s">
        <v>85</v>
      </c>
      <c r="C10" s="1530" t="s">
        <v>1200</v>
      </c>
      <c r="D10" s="1530"/>
      <c r="E10" s="1530"/>
      <c r="F10" s="1449" t="s">
        <v>1400</v>
      </c>
      <c r="G10" s="1450"/>
      <c r="H10" s="1450" t="s">
        <v>1399</v>
      </c>
      <c r="I10" s="1450"/>
      <c r="J10" s="1451"/>
    </row>
    <row r="11" spans="1:10" ht="20.100000000000001" customHeight="1" x14ac:dyDescent="0.25">
      <c r="A11" s="1532"/>
      <c r="B11" s="1524"/>
      <c r="C11" s="991" t="s">
        <v>176</v>
      </c>
      <c r="D11" s="992" t="s">
        <v>177</v>
      </c>
      <c r="E11" s="993" t="s">
        <v>178</v>
      </c>
      <c r="F11" s="942" t="s">
        <v>62</v>
      </c>
      <c r="G11" s="782" t="s">
        <v>63</v>
      </c>
      <c r="H11" s="782" t="s">
        <v>62</v>
      </c>
      <c r="I11" s="782" t="s">
        <v>63</v>
      </c>
      <c r="J11" s="943" t="s">
        <v>64</v>
      </c>
    </row>
    <row r="12" spans="1:10" ht="20.100000000000001" customHeight="1" x14ac:dyDescent="0.25">
      <c r="A12" s="994" t="s">
        <v>479</v>
      </c>
      <c r="B12" s="995" t="s">
        <v>520</v>
      </c>
      <c r="C12" s="996"/>
      <c r="D12" s="997"/>
      <c r="E12" s="998"/>
      <c r="F12" s="998"/>
      <c r="G12" s="998"/>
      <c r="H12" s="998"/>
      <c r="I12" s="998"/>
      <c r="J12" s="998"/>
    </row>
    <row r="13" spans="1:10" ht="20.100000000000001" customHeight="1" x14ac:dyDescent="0.25">
      <c r="A13" s="994" t="s">
        <v>487</v>
      </c>
      <c r="B13" s="999" t="s">
        <v>630</v>
      </c>
      <c r="C13" s="996"/>
      <c r="D13" s="997"/>
      <c r="E13" s="998"/>
      <c r="F13" s="998"/>
      <c r="G13" s="998"/>
      <c r="H13" s="998"/>
      <c r="I13" s="998"/>
      <c r="J13" s="998"/>
    </row>
    <row r="14" spans="1:10" ht="24.6" customHeight="1" x14ac:dyDescent="0.25">
      <c r="A14" s="994" t="s">
        <v>488</v>
      </c>
      <c r="B14" s="1000" t="s">
        <v>639</v>
      </c>
      <c r="C14" s="1001">
        <v>34770</v>
      </c>
      <c r="D14" s="1001">
        <v>135479</v>
      </c>
      <c r="E14" s="773">
        <f t="shared" ref="E14:E17" si="0">C14+D14</f>
        <v>170249</v>
      </c>
      <c r="F14" s="998"/>
      <c r="G14" s="998"/>
      <c r="H14" s="998"/>
      <c r="I14" s="998"/>
      <c r="J14" s="998"/>
    </row>
    <row r="15" spans="1:10" ht="36" customHeight="1" x14ac:dyDescent="0.25">
      <c r="A15" s="994" t="s">
        <v>489</v>
      </c>
      <c r="B15" s="1002" t="s">
        <v>1087</v>
      </c>
      <c r="C15" s="1003">
        <v>0</v>
      </c>
      <c r="D15" s="1001">
        <v>0</v>
      </c>
      <c r="E15" s="773">
        <f t="shared" si="0"/>
        <v>0</v>
      </c>
      <c r="F15" s="998"/>
      <c r="G15" s="998"/>
      <c r="H15" s="998"/>
      <c r="I15" s="998"/>
      <c r="J15" s="998"/>
    </row>
    <row r="16" spans="1:10" ht="24" customHeight="1" x14ac:dyDescent="0.25">
      <c r="A16" s="994" t="s">
        <v>490</v>
      </c>
      <c r="B16" s="1000" t="s">
        <v>1086</v>
      </c>
      <c r="C16" s="1001">
        <v>0</v>
      </c>
      <c r="D16" s="1001">
        <v>0</v>
      </c>
      <c r="E16" s="773">
        <f t="shared" si="0"/>
        <v>0</v>
      </c>
      <c r="F16" s="998"/>
      <c r="G16" s="998"/>
      <c r="H16" s="998"/>
      <c r="I16" s="998"/>
      <c r="J16" s="998"/>
    </row>
    <row r="17" spans="1:15" ht="31.5" customHeight="1" x14ac:dyDescent="0.25">
      <c r="A17" s="994" t="s">
        <v>491</v>
      </c>
      <c r="B17" s="1004" t="s">
        <v>1163</v>
      </c>
      <c r="C17" s="1001">
        <v>0</v>
      </c>
      <c r="D17" s="1001">
        <v>0</v>
      </c>
      <c r="E17" s="773">
        <f t="shared" si="0"/>
        <v>0</v>
      </c>
      <c r="F17" s="998"/>
      <c r="G17" s="998"/>
      <c r="H17" s="998"/>
      <c r="I17" s="998"/>
      <c r="J17" s="998"/>
    </row>
    <row r="18" spans="1:15" s="15" customFormat="1" ht="19.5" customHeight="1" x14ac:dyDescent="0.25">
      <c r="A18" s="994" t="s">
        <v>492</v>
      </c>
      <c r="B18" s="1005" t="s">
        <v>49</v>
      </c>
      <c r="C18" s="1006">
        <f>SUM(C14:C17)</f>
        <v>34770</v>
      </c>
      <c r="D18" s="1006">
        <f>SUM(D14:D17)</f>
        <v>135479</v>
      </c>
      <c r="E18" s="1006">
        <f>SUM(E14:E17)</f>
        <v>170249</v>
      </c>
      <c r="F18" s="1007"/>
      <c r="G18" s="1007"/>
      <c r="H18" s="1007"/>
      <c r="I18" s="1007"/>
      <c r="J18" s="1007"/>
    </row>
    <row r="19" spans="1:15" s="15" customFormat="1" ht="20.25" customHeight="1" x14ac:dyDescent="0.25">
      <c r="A19" s="994" t="s">
        <v>493</v>
      </c>
      <c r="B19" s="1005"/>
      <c r="C19" s="1006"/>
      <c r="D19" s="1008"/>
      <c r="E19" s="774"/>
      <c r="F19" s="1007"/>
      <c r="G19" s="1007"/>
      <c r="H19" s="1007"/>
      <c r="I19" s="1007"/>
      <c r="J19" s="1007"/>
    </row>
    <row r="20" spans="1:15" ht="19.5" customHeight="1" x14ac:dyDescent="0.25">
      <c r="A20" s="994" t="s">
        <v>494</v>
      </c>
      <c r="B20" s="1005" t="s">
        <v>631</v>
      </c>
      <c r="C20" s="1003"/>
      <c r="D20" s="1009"/>
      <c r="E20" s="1010"/>
      <c r="F20" s="998"/>
      <c r="G20" s="998"/>
      <c r="H20" s="998"/>
      <c r="I20" s="998"/>
      <c r="J20" s="998"/>
    </row>
    <row r="21" spans="1:15" ht="21" customHeight="1" x14ac:dyDescent="0.25">
      <c r="A21" s="994" t="s">
        <v>530</v>
      </c>
      <c r="B21" s="1011" t="s">
        <v>521</v>
      </c>
      <c r="C21" s="1003"/>
      <c r="D21" s="1003">
        <v>0</v>
      </c>
      <c r="E21" s="773">
        <f>C21+D21</f>
        <v>0</v>
      </c>
      <c r="F21" s="998"/>
      <c r="G21" s="998"/>
      <c r="H21" s="998"/>
      <c r="I21" s="998"/>
      <c r="J21" s="998"/>
    </row>
    <row r="22" spans="1:15" ht="21.75" customHeight="1" x14ac:dyDescent="0.25">
      <c r="A22" s="994" t="s">
        <v>531</v>
      </c>
      <c r="B22" s="1012" t="s">
        <v>522</v>
      </c>
      <c r="C22" s="1003"/>
      <c r="D22" s="1003">
        <v>3192</v>
      </c>
      <c r="E22" s="773">
        <f>C22+D22</f>
        <v>3192</v>
      </c>
      <c r="F22" s="998"/>
      <c r="G22" s="998"/>
      <c r="H22" s="998"/>
      <c r="I22" s="998"/>
      <c r="J22" s="998"/>
    </row>
    <row r="23" spans="1:15" ht="41.25" customHeight="1" x14ac:dyDescent="0.25">
      <c r="A23" s="994" t="s">
        <v>532</v>
      </c>
      <c r="B23" s="1013" t="s">
        <v>970</v>
      </c>
      <c r="C23" s="1014"/>
      <c r="D23" s="1015">
        <v>0</v>
      </c>
      <c r="E23" s="1016">
        <f>C23+D23</f>
        <v>0</v>
      </c>
      <c r="F23" s="998"/>
      <c r="G23" s="998"/>
      <c r="H23" s="998"/>
      <c r="I23" s="998"/>
      <c r="J23" s="998"/>
    </row>
    <row r="24" spans="1:15" s="15" customFormat="1" ht="21" customHeight="1" x14ac:dyDescent="0.25">
      <c r="A24" s="994" t="s">
        <v>533</v>
      </c>
      <c r="B24" s="1005" t="s">
        <v>632</v>
      </c>
      <c r="C24" s="1006">
        <f>SUM(C21:C22)</f>
        <v>0</v>
      </c>
      <c r="D24" s="1006">
        <f>SUM(D21:D23)</f>
        <v>3192</v>
      </c>
      <c r="E24" s="773">
        <f>C24+D24</f>
        <v>3192</v>
      </c>
      <c r="F24" s="1007"/>
      <c r="G24" s="1007"/>
      <c r="H24" s="1007"/>
      <c r="I24" s="1007"/>
      <c r="J24" s="1007"/>
    </row>
    <row r="25" spans="1:15" s="15" customFormat="1" ht="22.5" customHeight="1" x14ac:dyDescent="0.25">
      <c r="A25" s="994" t="s">
        <v>534</v>
      </c>
      <c r="B25" s="1017" t="s">
        <v>523</v>
      </c>
      <c r="C25" s="773">
        <f>C18+C24</f>
        <v>34770</v>
      </c>
      <c r="D25" s="773">
        <f>D18+D24</f>
        <v>138671</v>
      </c>
      <c r="E25" s="773">
        <f>C25+D25</f>
        <v>173441</v>
      </c>
      <c r="F25" s="1007"/>
      <c r="G25" s="1007"/>
      <c r="H25" s="1007"/>
      <c r="I25" s="1007"/>
      <c r="J25" s="1007"/>
    </row>
    <row r="26" spans="1:15" ht="20.100000000000001" customHeight="1" x14ac:dyDescent="0.25">
      <c r="A26" s="994" t="s">
        <v>535</v>
      </c>
      <c r="B26" s="1012"/>
      <c r="C26" s="1001"/>
      <c r="D26" s="1001"/>
      <c r="E26" s="1010"/>
      <c r="F26" s="998"/>
      <c r="G26" s="998"/>
      <c r="H26" s="998"/>
      <c r="I26" s="998"/>
      <c r="J26" s="998"/>
    </row>
    <row r="27" spans="1:15" ht="20.100000000000001" customHeight="1" x14ac:dyDescent="0.25">
      <c r="A27" s="994" t="s">
        <v>536</v>
      </c>
      <c r="B27" s="995" t="s">
        <v>524</v>
      </c>
      <c r="C27" s="1001"/>
      <c r="D27" s="1001"/>
      <c r="E27" s="1010"/>
      <c r="F27" s="998"/>
      <c r="G27" s="998"/>
      <c r="H27" s="998"/>
      <c r="I27" s="998"/>
      <c r="J27" s="998"/>
    </row>
    <row r="28" spans="1:15" ht="20.100000000000001" customHeight="1" x14ac:dyDescent="0.25">
      <c r="A28" s="994" t="s">
        <v>537</v>
      </c>
      <c r="B28" s="1011" t="s">
        <v>525</v>
      </c>
      <c r="C28" s="1001">
        <v>53000</v>
      </c>
      <c r="D28" s="1001">
        <v>563</v>
      </c>
      <c r="E28" s="773">
        <f>C28+D28</f>
        <v>53563</v>
      </c>
      <c r="F28" s="998"/>
      <c r="G28" s="998"/>
      <c r="H28" s="998"/>
      <c r="I28" s="998"/>
      <c r="J28" s="998"/>
    </row>
    <row r="29" spans="1:15" ht="20.100000000000001" customHeight="1" x14ac:dyDescent="0.25">
      <c r="A29" s="994" t="s">
        <v>539</v>
      </c>
      <c r="B29" s="1017" t="s">
        <v>186</v>
      </c>
      <c r="C29" s="1001"/>
      <c r="D29" s="1001"/>
      <c r="E29" s="773"/>
      <c r="F29" s="998"/>
      <c r="G29" s="998"/>
      <c r="H29" s="998"/>
      <c r="I29" s="998"/>
      <c r="J29" s="998"/>
    </row>
    <row r="30" spans="1:15" ht="32.25" customHeight="1" x14ac:dyDescent="0.25">
      <c r="A30" s="994" t="s">
        <v>540</v>
      </c>
      <c r="B30" s="1000" t="s">
        <v>1088</v>
      </c>
      <c r="C30" s="1001">
        <v>0</v>
      </c>
      <c r="D30" s="1001">
        <v>0</v>
      </c>
      <c r="E30" s="773">
        <f>SUM(C30:D30)</f>
        <v>0</v>
      </c>
      <c r="F30" s="998"/>
      <c r="G30" s="998"/>
      <c r="H30" s="998"/>
      <c r="I30" s="998"/>
      <c r="J30" s="998"/>
    </row>
    <row r="31" spans="1:15" ht="32.25" customHeight="1" x14ac:dyDescent="0.25">
      <c r="A31" s="994" t="s">
        <v>541</v>
      </c>
      <c r="B31" s="1000" t="s">
        <v>1089</v>
      </c>
      <c r="C31" s="1001">
        <v>2223</v>
      </c>
      <c r="D31" s="1001"/>
      <c r="E31" s="773">
        <f>SUM(C31:D31)</f>
        <v>2223</v>
      </c>
      <c r="F31" s="998"/>
      <c r="G31" s="998"/>
      <c r="H31" s="998"/>
      <c r="I31" s="998"/>
      <c r="J31" s="998"/>
    </row>
    <row r="32" spans="1:15" s="15" customFormat="1" ht="20.100000000000001" customHeight="1" x14ac:dyDescent="0.25">
      <c r="A32" s="994" t="s">
        <v>542</v>
      </c>
      <c r="B32" s="1018" t="s">
        <v>526</v>
      </c>
      <c r="C32" s="773">
        <f>C28+C30+C31</f>
        <v>55223</v>
      </c>
      <c r="D32" s="773">
        <f t="shared" ref="D32:E32" si="1">D28+D30+D31</f>
        <v>563</v>
      </c>
      <c r="E32" s="773">
        <f t="shared" si="1"/>
        <v>55786</v>
      </c>
      <c r="F32" s="1007"/>
      <c r="G32" s="1007"/>
      <c r="H32" s="1007"/>
      <c r="I32" s="1007"/>
      <c r="J32" s="1007"/>
      <c r="O32" s="688"/>
    </row>
    <row r="33" spans="1:15" s="15" customFormat="1" ht="20.100000000000001" customHeight="1" x14ac:dyDescent="0.25">
      <c r="A33" s="994" t="s">
        <v>543</v>
      </c>
      <c r="B33" s="1018" t="s">
        <v>303</v>
      </c>
      <c r="C33" s="773">
        <f>C25+C32</f>
        <v>89993</v>
      </c>
      <c r="D33" s="773">
        <f>D25+D32</f>
        <v>139234</v>
      </c>
      <c r="E33" s="773">
        <f>E25+E32</f>
        <v>229227</v>
      </c>
      <c r="F33" s="1007"/>
      <c r="G33" s="1007"/>
      <c r="H33" s="1007"/>
      <c r="I33" s="1007"/>
      <c r="J33" s="1007"/>
      <c r="O33" s="688"/>
    </row>
    <row r="34" spans="1:15" s="15" customFormat="1" ht="20.100000000000001" customHeight="1" x14ac:dyDescent="0.25">
      <c r="A34" s="16"/>
      <c r="B34" s="25"/>
      <c r="C34" s="24"/>
      <c r="D34" s="259"/>
    </row>
    <row r="35" spans="1:15" ht="19.5" customHeight="1" x14ac:dyDescent="0.25">
      <c r="B35" s="26"/>
      <c r="C35" s="23"/>
    </row>
    <row r="36" spans="1:15" ht="15" customHeight="1" x14ac:dyDescent="0.25">
      <c r="B36" s="17"/>
      <c r="C36" s="23"/>
      <c r="H36" s="367"/>
    </row>
    <row r="37" spans="1:15" x14ac:dyDescent="0.25">
      <c r="B37" s="17"/>
      <c r="C37" s="23"/>
    </row>
    <row r="38" spans="1:15" x14ac:dyDescent="0.25">
      <c r="B38" s="17"/>
      <c r="C38" s="23"/>
    </row>
    <row r="39" spans="1:15" x14ac:dyDescent="0.25">
      <c r="B39" s="17"/>
      <c r="C39" s="23"/>
    </row>
  </sheetData>
  <sheetProtection selectLockedCells="1" selectUnlockedCells="1"/>
  <mergeCells count="12">
    <mergeCell ref="F10:G10"/>
    <mergeCell ref="H10:J10"/>
    <mergeCell ref="C9:J9"/>
    <mergeCell ref="B10:B11"/>
    <mergeCell ref="A2:E2"/>
    <mergeCell ref="A4:E4"/>
    <mergeCell ref="A5:E5"/>
    <mergeCell ref="A6:E6"/>
    <mergeCell ref="A8:E8"/>
    <mergeCell ref="B7:C7"/>
    <mergeCell ref="C10:E10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62"/>
  <sheetViews>
    <sheetView zoomScale="120" workbookViewId="0">
      <selection activeCell="C38" sqref="C38"/>
    </sheetView>
  </sheetViews>
  <sheetFormatPr defaultColWidth="9.140625" defaultRowHeight="11.25" x14ac:dyDescent="0.2"/>
  <cols>
    <col min="1" max="1" width="3" style="10" customWidth="1"/>
    <col min="2" max="2" width="3.7109375" style="118" customWidth="1"/>
    <col min="3" max="3" width="37.28515625" style="118" customWidth="1"/>
    <col min="4" max="11" width="10" style="119" customWidth="1"/>
    <col min="12" max="12" width="40.42578125" style="119" customWidth="1"/>
    <col min="13" max="13" width="10.140625" style="119" customWidth="1"/>
    <col min="14" max="15" width="10" style="119" customWidth="1"/>
    <col min="16" max="16" width="7.7109375" style="238" hidden="1" customWidth="1"/>
    <col min="17" max="16384" width="9.140625" style="10"/>
  </cols>
  <sheetData>
    <row r="1" spans="1:21" ht="12.75" customHeight="1" x14ac:dyDescent="0.2">
      <c r="C1" s="1398" t="s">
        <v>1417</v>
      </c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  <c r="U1" s="1398"/>
    </row>
    <row r="2" spans="1:21" x14ac:dyDescent="0.2">
      <c r="O2" s="120"/>
    </row>
    <row r="3" spans="1:21" s="99" customFormat="1" ht="12.75" customHeight="1" x14ac:dyDescent="0.2">
      <c r="B3" s="1406" t="s">
        <v>77</v>
      </c>
      <c r="C3" s="1406"/>
      <c r="D3" s="1406"/>
      <c r="E3" s="1406"/>
      <c r="F3" s="1406"/>
      <c r="G3" s="1406"/>
      <c r="H3" s="1406"/>
      <c r="I3" s="1406"/>
      <c r="J3" s="1406"/>
      <c r="K3" s="1406"/>
      <c r="L3" s="1406"/>
      <c r="M3" s="1406"/>
      <c r="N3" s="1406"/>
      <c r="O3" s="1406"/>
      <c r="P3" s="1406"/>
      <c r="Q3" s="1406"/>
      <c r="R3" s="1406"/>
      <c r="S3" s="1406"/>
      <c r="T3" s="1406"/>
      <c r="U3" s="1406"/>
    </row>
    <row r="4" spans="1:21" s="99" customFormat="1" ht="12.75" customHeight="1" x14ac:dyDescent="0.2">
      <c r="B4" s="1533" t="s">
        <v>1158</v>
      </c>
      <c r="C4" s="1533"/>
      <c r="D4" s="1533"/>
      <c r="E4" s="1533"/>
      <c r="F4" s="1533"/>
      <c r="G4" s="1533"/>
      <c r="H4" s="1533"/>
      <c r="I4" s="1533"/>
      <c r="J4" s="1533"/>
      <c r="K4" s="1533"/>
      <c r="L4" s="1533"/>
      <c r="M4" s="1533"/>
      <c r="N4" s="1533"/>
      <c r="O4" s="1533"/>
      <c r="P4" s="1533"/>
      <c r="Q4" s="1533"/>
      <c r="R4" s="1533"/>
      <c r="S4" s="1533"/>
      <c r="T4" s="1533"/>
      <c r="U4" s="1533"/>
    </row>
    <row r="5" spans="1:21" s="99" customFormat="1" ht="12.75" customHeight="1" x14ac:dyDescent="0.2">
      <c r="B5" s="1405" t="s">
        <v>302</v>
      </c>
      <c r="C5" s="1405"/>
      <c r="D5" s="1405"/>
      <c r="E5" s="1405"/>
      <c r="F5" s="1405"/>
      <c r="G5" s="1405"/>
      <c r="H5" s="1405"/>
      <c r="I5" s="1405"/>
      <c r="J5" s="1405"/>
      <c r="K5" s="1405"/>
      <c r="L5" s="1405"/>
      <c r="M5" s="1405"/>
      <c r="N5" s="1405"/>
      <c r="O5" s="1405"/>
      <c r="P5" s="1405"/>
      <c r="Q5" s="1405"/>
      <c r="R5" s="1405"/>
      <c r="S5" s="1405"/>
      <c r="T5" s="1405"/>
      <c r="U5" s="1405"/>
    </row>
    <row r="6" spans="1:21" s="99" customFormat="1" ht="12.75" customHeight="1" x14ac:dyDescent="0.2">
      <c r="B6" s="1399" t="s">
        <v>56</v>
      </c>
      <c r="C6" s="1401" t="s">
        <v>57</v>
      </c>
      <c r="D6" s="1401" t="s">
        <v>58</v>
      </c>
      <c r="E6" s="1401"/>
      <c r="F6" s="1401"/>
      <c r="G6" s="1401"/>
      <c r="H6" s="1401"/>
      <c r="I6" s="1401"/>
      <c r="J6" s="1401"/>
      <c r="K6" s="1401"/>
      <c r="L6" s="1402" t="s">
        <v>59</v>
      </c>
      <c r="M6" s="1404" t="s">
        <v>60</v>
      </c>
      <c r="N6" s="1404"/>
      <c r="O6" s="1404"/>
      <c r="P6" s="1404"/>
      <c r="Q6" s="1404"/>
      <c r="R6" s="1404"/>
      <c r="S6" s="1404"/>
      <c r="T6" s="1404"/>
      <c r="U6" s="1404"/>
    </row>
    <row r="7" spans="1:21" s="99" customFormat="1" ht="12.75" customHeight="1" x14ac:dyDescent="0.2">
      <c r="B7" s="1399"/>
      <c r="C7" s="1401"/>
      <c r="D7" s="1403" t="s">
        <v>1413</v>
      </c>
      <c r="E7" s="1403"/>
      <c r="F7" s="1403"/>
      <c r="G7" s="1403" t="s">
        <v>1400</v>
      </c>
      <c r="H7" s="1403"/>
      <c r="I7" s="1403" t="s">
        <v>1412</v>
      </c>
      <c r="J7" s="1403"/>
      <c r="K7" s="1403"/>
      <c r="L7" s="1402"/>
      <c r="M7" s="1403" t="s">
        <v>1413</v>
      </c>
      <c r="N7" s="1403"/>
      <c r="O7" s="1403"/>
      <c r="P7" s="1364"/>
      <c r="Q7" s="1403" t="s">
        <v>1400</v>
      </c>
      <c r="R7" s="1403"/>
      <c r="S7" s="1403" t="s">
        <v>1414</v>
      </c>
      <c r="T7" s="1403"/>
      <c r="U7" s="1403"/>
    </row>
    <row r="8" spans="1:21" s="100" customFormat="1" ht="36.6" customHeight="1" x14ac:dyDescent="0.2">
      <c r="B8" s="1399"/>
      <c r="C8" s="1318" t="s">
        <v>61</v>
      </c>
      <c r="D8" s="817" t="s">
        <v>62</v>
      </c>
      <c r="E8" s="817" t="s">
        <v>63</v>
      </c>
      <c r="F8" s="817" t="s">
        <v>64</v>
      </c>
      <c r="G8" s="817" t="s">
        <v>62</v>
      </c>
      <c r="H8" s="817" t="s">
        <v>63</v>
      </c>
      <c r="I8" s="817" t="s">
        <v>62</v>
      </c>
      <c r="J8" s="817" t="s">
        <v>63</v>
      </c>
      <c r="K8" s="817" t="s">
        <v>64</v>
      </c>
      <c r="L8" s="1317" t="s">
        <v>65</v>
      </c>
      <c r="M8" s="817" t="s">
        <v>62</v>
      </c>
      <c r="N8" s="817" t="s">
        <v>63</v>
      </c>
      <c r="O8" s="817" t="s">
        <v>64</v>
      </c>
      <c r="P8" s="1365"/>
      <c r="Q8" s="817" t="s">
        <v>62</v>
      </c>
      <c r="R8" s="817" t="s">
        <v>63</v>
      </c>
      <c r="S8" s="817" t="s">
        <v>62</v>
      </c>
      <c r="T8" s="817" t="s">
        <v>63</v>
      </c>
      <c r="U8" s="817" t="s">
        <v>64</v>
      </c>
    </row>
    <row r="9" spans="1:21" ht="11.45" customHeight="1" x14ac:dyDescent="0.2">
      <c r="A9" s="1328"/>
      <c r="B9" s="570">
        <v>1</v>
      </c>
      <c r="C9" s="1349" t="s">
        <v>24</v>
      </c>
      <c r="D9" s="126"/>
      <c r="E9" s="126"/>
      <c r="F9" s="126"/>
      <c r="G9" s="126"/>
      <c r="H9" s="126"/>
      <c r="I9" s="126"/>
      <c r="J9" s="126"/>
      <c r="K9" s="1366"/>
      <c r="L9" s="1302" t="s">
        <v>25</v>
      </c>
      <c r="M9" s="126"/>
      <c r="N9" s="126"/>
      <c r="O9" s="124"/>
      <c r="P9" s="210"/>
      <c r="Q9" s="210"/>
      <c r="R9" s="210"/>
      <c r="S9" s="210"/>
      <c r="T9" s="210"/>
      <c r="U9" s="1328"/>
    </row>
    <row r="10" spans="1:21" x14ac:dyDescent="0.2">
      <c r="A10" s="1328"/>
      <c r="B10" s="570">
        <f t="shared" ref="B10:B55" si="0">B9+1</f>
        <v>2</v>
      </c>
      <c r="C10" s="123" t="s">
        <v>35</v>
      </c>
      <c r="D10" s="204"/>
      <c r="E10" s="204"/>
      <c r="F10" s="204"/>
      <c r="G10" s="204"/>
      <c r="H10" s="204"/>
      <c r="I10" s="204"/>
      <c r="J10" s="204"/>
      <c r="K10" s="353"/>
      <c r="L10" s="204" t="s">
        <v>215</v>
      </c>
      <c r="M10" s="204">
        <f>'műk. kiad. szakf Önkorm. '!D74</f>
        <v>58767</v>
      </c>
      <c r="N10" s="204">
        <f>'műk. kiad. szakf Önkorm. '!G74</f>
        <v>40570</v>
      </c>
      <c r="O10" s="1350">
        <f>SUM(M10:N10)</f>
        <v>99337</v>
      </c>
      <c r="P10" s="210"/>
      <c r="Q10" s="1304">
        <v>5558</v>
      </c>
      <c r="R10" s="1304">
        <v>-2777</v>
      </c>
      <c r="S10" s="1304">
        <f>M10+Q10</f>
        <v>64325</v>
      </c>
      <c r="T10" s="1304">
        <f>N10+R10</f>
        <v>37793</v>
      </c>
      <c r="U10" s="1320">
        <f>S10+T10</f>
        <v>102118</v>
      </c>
    </row>
    <row r="11" spans="1:21" x14ac:dyDescent="0.2">
      <c r="A11" s="1328"/>
      <c r="B11" s="570">
        <f t="shared" si="0"/>
        <v>3</v>
      </c>
      <c r="C11" s="123" t="s">
        <v>191</v>
      </c>
      <c r="D11" s="204">
        <f>'tám, végl. pe.átv  '!C11+'tám, végl. pe.átv  '!C17+'tám, végl. pe.átv  '!C18</f>
        <v>811138</v>
      </c>
      <c r="E11" s="204">
        <f>'tám, végl. pe.átv  '!D11+'tám, végl. pe.átv  '!D17+'tám, végl. pe.átv  '!D18</f>
        <v>131086</v>
      </c>
      <c r="F11" s="204">
        <f>'tám, végl. pe.átv  '!E11+'tám, végl. pe.átv  '!E17+'tám, végl. pe.átv  '!E18</f>
        <v>942224</v>
      </c>
      <c r="G11" s="204">
        <v>1057</v>
      </c>
      <c r="H11" s="204">
        <v>-1612</v>
      </c>
      <c r="I11" s="204">
        <f>D11+G11</f>
        <v>812195</v>
      </c>
      <c r="J11" s="204">
        <f>E11+H11</f>
        <v>129474</v>
      </c>
      <c r="K11" s="353">
        <f>I11+J11</f>
        <v>941669</v>
      </c>
      <c r="L11" s="204" t="s">
        <v>216</v>
      </c>
      <c r="M11" s="204">
        <f>'műk. kiad. szakf Önkorm. '!J74</f>
        <v>17109</v>
      </c>
      <c r="N11" s="204">
        <f>'műk. kiad. szakf Önkorm. '!M74</f>
        <v>13588</v>
      </c>
      <c r="O11" s="1350">
        <f>SUM(M11:N11)</f>
        <v>30697</v>
      </c>
      <c r="P11" s="210"/>
      <c r="Q11" s="1304">
        <v>-4838</v>
      </c>
      <c r="R11" s="1304">
        <v>2</v>
      </c>
      <c r="S11" s="1304">
        <f t="shared" ref="S11:S34" si="1">M11+Q11</f>
        <v>12271</v>
      </c>
      <c r="T11" s="1304">
        <f t="shared" ref="T11:T34" si="2">N11+R11</f>
        <v>13590</v>
      </c>
      <c r="U11" s="1320">
        <f t="shared" ref="U11:U34" si="3">S11+T11</f>
        <v>25861</v>
      </c>
    </row>
    <row r="12" spans="1:21" x14ac:dyDescent="0.2">
      <c r="A12" s="1328"/>
      <c r="B12" s="570">
        <f t="shared" si="0"/>
        <v>4</v>
      </c>
      <c r="C12" s="123" t="s">
        <v>188</v>
      </c>
      <c r="D12" s="204"/>
      <c r="E12" s="204">
        <v>0</v>
      </c>
      <c r="F12" s="204"/>
      <c r="G12" s="204"/>
      <c r="H12" s="204"/>
      <c r="I12" s="204"/>
      <c r="J12" s="204"/>
      <c r="K12" s="353"/>
      <c r="L12" s="204" t="s">
        <v>217</v>
      </c>
      <c r="M12" s="204">
        <f>'műk. kiad. szakf Önkorm. '!P74</f>
        <v>355594</v>
      </c>
      <c r="N12" s="204">
        <f>'műk. kiad. szakf Önkorm. '!S74</f>
        <v>311464</v>
      </c>
      <c r="O12" s="1350">
        <f>SUM(M12:N12)</f>
        <v>667058</v>
      </c>
      <c r="P12" s="210"/>
      <c r="Q12" s="1304">
        <v>1289</v>
      </c>
      <c r="R12" s="1304">
        <v>-21089</v>
      </c>
      <c r="S12" s="1304">
        <f t="shared" si="1"/>
        <v>356883</v>
      </c>
      <c r="T12" s="1304">
        <f t="shared" si="2"/>
        <v>290375</v>
      </c>
      <c r="U12" s="1320">
        <f t="shared" si="3"/>
        <v>647258</v>
      </c>
    </row>
    <row r="13" spans="1:21" ht="12" customHeight="1" x14ac:dyDescent="0.2">
      <c r="A13" s="1328"/>
      <c r="B13" s="570">
        <f t="shared" si="0"/>
        <v>5</v>
      </c>
      <c r="C13" s="1351" t="s">
        <v>192</v>
      </c>
      <c r="D13" s="204">
        <f>'tám, végl. pe.átv  '!C38</f>
        <v>58450</v>
      </c>
      <c r="E13" s="204">
        <f>'tám, végl. pe.átv  '!D38</f>
        <v>11253</v>
      </c>
      <c r="F13" s="204">
        <f>'tám, végl. pe.átv  '!E38</f>
        <v>69703</v>
      </c>
      <c r="G13" s="204">
        <v>-1821</v>
      </c>
      <c r="H13" s="204">
        <v>-8477</v>
      </c>
      <c r="I13" s="204">
        <f t="shared" ref="I13:I54" si="4">D13+G13</f>
        <v>56629</v>
      </c>
      <c r="J13" s="204">
        <f t="shared" ref="J13:J54" si="5">E13+H13</f>
        <v>2776</v>
      </c>
      <c r="K13" s="353">
        <f t="shared" ref="K13:K54" si="6">I13+J13</f>
        <v>59405</v>
      </c>
      <c r="L13" s="204"/>
      <c r="M13" s="204"/>
      <c r="N13" s="204"/>
      <c r="O13" s="1350"/>
      <c r="P13" s="210"/>
      <c r="Q13" s="1304"/>
      <c r="R13" s="1304"/>
      <c r="S13" s="1304"/>
      <c r="T13" s="1304"/>
      <c r="U13" s="1320"/>
    </row>
    <row r="14" spans="1:21" x14ac:dyDescent="0.2">
      <c r="A14" s="1328"/>
      <c r="B14" s="570">
        <f>B13+1</f>
        <v>6</v>
      </c>
      <c r="C14" s="123" t="s">
        <v>1117</v>
      </c>
      <c r="D14" s="204"/>
      <c r="E14" s="204"/>
      <c r="F14" s="204"/>
      <c r="G14" s="204"/>
      <c r="H14" s="204"/>
      <c r="I14" s="204"/>
      <c r="J14" s="204"/>
      <c r="K14" s="353"/>
      <c r="L14" s="204" t="s">
        <v>218</v>
      </c>
      <c r="M14" s="1304">
        <f>'ellátottak önk.'!E29</f>
        <v>2689</v>
      </c>
      <c r="N14" s="1304">
        <f>'ellátottak önk.'!F29</f>
        <v>10950</v>
      </c>
      <c r="O14" s="1350">
        <f>SUM(M14:N14)</f>
        <v>13639</v>
      </c>
      <c r="P14" s="210"/>
      <c r="Q14" s="1304">
        <v>-163</v>
      </c>
      <c r="R14" s="1304">
        <v>163</v>
      </c>
      <c r="S14" s="1304">
        <f t="shared" si="1"/>
        <v>2526</v>
      </c>
      <c r="T14" s="1304">
        <f t="shared" si="2"/>
        <v>11113</v>
      </c>
      <c r="U14" s="1320">
        <f t="shared" si="3"/>
        <v>13639</v>
      </c>
    </row>
    <row r="15" spans="1:21" x14ac:dyDescent="0.2">
      <c r="A15" s="1328"/>
      <c r="B15" s="570">
        <f t="shared" ref="B15:B26" si="7">B14+1</f>
        <v>7</v>
      </c>
      <c r="C15" s="123" t="s">
        <v>1115</v>
      </c>
      <c r="D15" s="204">
        <f>'felh. bev.  '!D24</f>
        <v>0</v>
      </c>
      <c r="E15" s="204"/>
      <c r="F15" s="204"/>
      <c r="G15" s="204"/>
      <c r="H15" s="204"/>
      <c r="I15" s="204"/>
      <c r="J15" s="204"/>
      <c r="K15" s="353"/>
      <c r="L15" s="204"/>
      <c r="M15" s="1304"/>
      <c r="N15" s="1304"/>
      <c r="O15" s="1350"/>
      <c r="P15" s="210"/>
      <c r="Q15" s="1304"/>
      <c r="R15" s="1304"/>
      <c r="S15" s="1304"/>
      <c r="T15" s="1304"/>
      <c r="U15" s="1320"/>
    </row>
    <row r="16" spans="1:21" x14ac:dyDescent="0.2">
      <c r="A16" s="1328"/>
      <c r="B16" s="570">
        <f t="shared" si="7"/>
        <v>8</v>
      </c>
      <c r="C16" s="1352" t="s">
        <v>1116</v>
      </c>
      <c r="D16" s="204">
        <f>'felh. bev.  '!D29</f>
        <v>621278</v>
      </c>
      <c r="E16" s="204">
        <f>'felh. bev.  '!E29</f>
        <v>14540</v>
      </c>
      <c r="F16" s="204">
        <f t="shared" ref="F16" si="8">SUM(D16:E16)</f>
        <v>635818</v>
      </c>
      <c r="G16" s="204"/>
      <c r="H16" s="204"/>
      <c r="I16" s="204">
        <f t="shared" si="4"/>
        <v>621278</v>
      </c>
      <c r="J16" s="204">
        <f t="shared" si="5"/>
        <v>14540</v>
      </c>
      <c r="K16" s="353">
        <f t="shared" si="6"/>
        <v>635818</v>
      </c>
      <c r="L16" s="204" t="s">
        <v>219</v>
      </c>
      <c r="M16" s="1304"/>
      <c r="N16" s="1304"/>
      <c r="O16" s="1350"/>
      <c r="P16" s="210"/>
      <c r="Q16" s="1304"/>
      <c r="R16" s="1304"/>
      <c r="S16" s="1304"/>
      <c r="T16" s="1304"/>
      <c r="U16" s="1320"/>
    </row>
    <row r="17" spans="1:21" x14ac:dyDescent="0.2">
      <c r="A17" s="1328"/>
      <c r="B17" s="570">
        <f t="shared" si="7"/>
        <v>9</v>
      </c>
      <c r="C17" s="123" t="s">
        <v>193</v>
      </c>
      <c r="D17" s="204">
        <f>'közhatalmi bevételek'!D30</f>
        <v>377747</v>
      </c>
      <c r="E17" s="204">
        <f>'közhatalmi bevételek'!E30</f>
        <v>862657</v>
      </c>
      <c r="F17" s="204">
        <f>'közhatalmi bevételek'!F30</f>
        <v>1240404</v>
      </c>
      <c r="G17" s="204">
        <v>149477</v>
      </c>
      <c r="H17" s="204">
        <v>13603</v>
      </c>
      <c r="I17" s="204">
        <f t="shared" si="4"/>
        <v>527224</v>
      </c>
      <c r="J17" s="204">
        <f t="shared" si="5"/>
        <v>876260</v>
      </c>
      <c r="K17" s="353">
        <f t="shared" si="6"/>
        <v>1403484</v>
      </c>
      <c r="L17" s="204" t="s">
        <v>220</v>
      </c>
      <c r="M17" s="1304">
        <f>mc.pe.átad!E25</f>
        <v>9763</v>
      </c>
      <c r="N17" s="1304">
        <f>mc.pe.átad!F25</f>
        <v>58216</v>
      </c>
      <c r="O17" s="1304">
        <f>mc.pe.átad!G25</f>
        <v>67979</v>
      </c>
      <c r="P17" s="210"/>
      <c r="Q17" s="1304"/>
      <c r="R17" s="1304">
        <v>-67</v>
      </c>
      <c r="S17" s="1304">
        <f t="shared" si="1"/>
        <v>9763</v>
      </c>
      <c r="T17" s="1304">
        <f t="shared" si="2"/>
        <v>58149</v>
      </c>
      <c r="U17" s="1320">
        <f t="shared" si="3"/>
        <v>67912</v>
      </c>
    </row>
    <row r="18" spans="1:21" x14ac:dyDescent="0.2">
      <c r="A18" s="1328"/>
      <c r="B18" s="570">
        <f t="shared" si="7"/>
        <v>10</v>
      </c>
      <c r="C18" s="125" t="s">
        <v>40</v>
      </c>
      <c r="D18" s="1350"/>
      <c r="E18" s="1350"/>
      <c r="F18" s="1350"/>
      <c r="G18" s="1350"/>
      <c r="H18" s="1350"/>
      <c r="I18" s="204"/>
      <c r="J18" s="204"/>
      <c r="K18" s="353"/>
      <c r="L18" s="204" t="s">
        <v>221</v>
      </c>
      <c r="M18" s="1304">
        <f>mc.pe.átad!E73</f>
        <v>159080</v>
      </c>
      <c r="N18" s="1304">
        <f>mc.pe.átad!F73</f>
        <v>177206</v>
      </c>
      <c r="O18" s="1304">
        <f>mc.pe.átad!G73</f>
        <v>336286</v>
      </c>
      <c r="P18" s="210"/>
      <c r="Q18" s="1304"/>
      <c r="R18" s="1304">
        <v>-2171</v>
      </c>
      <c r="S18" s="1304">
        <f t="shared" si="1"/>
        <v>159080</v>
      </c>
      <c r="T18" s="1304">
        <f t="shared" si="2"/>
        <v>175035</v>
      </c>
      <c r="U18" s="1320">
        <f t="shared" si="3"/>
        <v>334115</v>
      </c>
    </row>
    <row r="19" spans="1:21" x14ac:dyDescent="0.2">
      <c r="A19" s="1328"/>
      <c r="B19" s="570">
        <f t="shared" si="7"/>
        <v>11</v>
      </c>
      <c r="C19" s="125"/>
      <c r="D19" s="1350"/>
      <c r="E19" s="1350"/>
      <c r="F19" s="1350"/>
      <c r="G19" s="1350"/>
      <c r="H19" s="1350"/>
      <c r="I19" s="204"/>
      <c r="J19" s="204"/>
      <c r="K19" s="353"/>
      <c r="L19" s="204" t="s">
        <v>268</v>
      </c>
      <c r="M19" s="1304"/>
      <c r="N19" s="1304"/>
      <c r="O19" s="1304"/>
      <c r="P19" s="210"/>
      <c r="Q19" s="1304"/>
      <c r="R19" s="1304"/>
      <c r="S19" s="1304"/>
      <c r="T19" s="1304"/>
      <c r="U19" s="1320"/>
    </row>
    <row r="20" spans="1:21" x14ac:dyDescent="0.2">
      <c r="A20" s="1328"/>
      <c r="B20" s="570">
        <f>B19+1</f>
        <v>12</v>
      </c>
      <c r="C20" s="123" t="s">
        <v>194</v>
      </c>
      <c r="D20" s="1350">
        <v>156494</v>
      </c>
      <c r="E20" s="1350">
        <v>132618</v>
      </c>
      <c r="F20" s="1350">
        <f>SUM(D20:E20)</f>
        <v>289112</v>
      </c>
      <c r="G20" s="1350">
        <v>-49975</v>
      </c>
      <c r="H20" s="1350">
        <v>-51118</v>
      </c>
      <c r="I20" s="204">
        <f t="shared" si="4"/>
        <v>106519</v>
      </c>
      <c r="J20" s="204">
        <f t="shared" si="5"/>
        <v>81500</v>
      </c>
      <c r="K20" s="353">
        <f t="shared" si="6"/>
        <v>188019</v>
      </c>
      <c r="L20" s="204" t="s">
        <v>223</v>
      </c>
      <c r="M20" s="1304">
        <f>tartalék!C24</f>
        <v>0</v>
      </c>
      <c r="N20" s="1304">
        <f>tartalék!D24</f>
        <v>3192</v>
      </c>
      <c r="O20" s="1305">
        <f>SUM(M20:N20)</f>
        <v>3192</v>
      </c>
      <c r="P20" s="210"/>
      <c r="Q20" s="1304"/>
      <c r="R20" s="1304">
        <v>-723</v>
      </c>
      <c r="S20" s="1304">
        <f t="shared" si="1"/>
        <v>0</v>
      </c>
      <c r="T20" s="1304">
        <f t="shared" si="2"/>
        <v>2469</v>
      </c>
      <c r="U20" s="1320">
        <f t="shared" si="3"/>
        <v>2469</v>
      </c>
    </row>
    <row r="21" spans="1:21" x14ac:dyDescent="0.2">
      <c r="A21" s="1328"/>
      <c r="B21" s="570">
        <f t="shared" si="7"/>
        <v>13</v>
      </c>
      <c r="C21" s="1303"/>
      <c r="D21" s="1350"/>
      <c r="E21" s="1350"/>
      <c r="F21" s="1350"/>
      <c r="G21" s="1350"/>
      <c r="H21" s="1350"/>
      <c r="I21" s="204"/>
      <c r="J21" s="204"/>
      <c r="K21" s="353"/>
      <c r="L21" s="204" t="s">
        <v>269</v>
      </c>
      <c r="M21" s="1304">
        <f>tartalék!C32</f>
        <v>55223</v>
      </c>
      <c r="N21" s="1304">
        <f>tartalék!D32</f>
        <v>563</v>
      </c>
      <c r="O21" s="1304">
        <f>tartalék!E32</f>
        <v>55786</v>
      </c>
      <c r="P21" s="210"/>
      <c r="Q21" s="1304">
        <v>74845</v>
      </c>
      <c r="R21" s="1304">
        <v>1226</v>
      </c>
      <c r="S21" s="1304">
        <f t="shared" si="1"/>
        <v>130068</v>
      </c>
      <c r="T21" s="1304">
        <f t="shared" si="2"/>
        <v>1789</v>
      </c>
      <c r="U21" s="1320">
        <f t="shared" si="3"/>
        <v>131857</v>
      </c>
    </row>
    <row r="22" spans="1:21" s="101" customFormat="1" x14ac:dyDescent="0.2">
      <c r="A22" s="1329"/>
      <c r="B22" s="570">
        <f t="shared" si="7"/>
        <v>14</v>
      </c>
      <c r="C22" s="1303" t="s">
        <v>42</v>
      </c>
      <c r="D22" s="1350"/>
      <c r="E22" s="1350"/>
      <c r="F22" s="1350"/>
      <c r="G22" s="1350"/>
      <c r="H22" s="1350"/>
      <c r="I22" s="204"/>
      <c r="J22" s="204"/>
      <c r="K22" s="353"/>
      <c r="L22" s="1304"/>
      <c r="M22" s="1304"/>
      <c r="N22" s="1304"/>
      <c r="O22" s="1304"/>
      <c r="P22" s="1353"/>
      <c r="Q22" s="1371"/>
      <c r="R22" s="1371"/>
      <c r="S22" s="1304"/>
      <c r="T22" s="1304"/>
      <c r="U22" s="1320"/>
    </row>
    <row r="23" spans="1:21" s="101" customFormat="1" x14ac:dyDescent="0.2">
      <c r="A23" s="1329"/>
      <c r="B23" s="570">
        <f t="shared" si="7"/>
        <v>15</v>
      </c>
      <c r="C23" s="1303" t="s">
        <v>195</v>
      </c>
      <c r="D23" s="1350"/>
      <c r="E23" s="1350"/>
      <c r="F23" s="1350"/>
      <c r="G23" s="1350"/>
      <c r="H23" s="1350"/>
      <c r="I23" s="204"/>
      <c r="J23" s="204"/>
      <c r="K23" s="353"/>
      <c r="L23" s="1304"/>
      <c r="M23" s="1304"/>
      <c r="N23" s="1304"/>
      <c r="O23" s="1304"/>
      <c r="P23" s="1353"/>
      <c r="Q23" s="1371"/>
      <c r="R23" s="1371"/>
      <c r="S23" s="1304"/>
      <c r="T23" s="1304"/>
      <c r="U23" s="1320"/>
    </row>
    <row r="24" spans="1:21" x14ac:dyDescent="0.2">
      <c r="A24" s="1328"/>
      <c r="B24" s="570">
        <f t="shared" si="7"/>
        <v>16</v>
      </c>
      <c r="C24" s="1303" t="s">
        <v>198</v>
      </c>
      <c r="D24" s="204">
        <f>'felh. bev.  '!D12</f>
        <v>19447</v>
      </c>
      <c r="E24" s="204">
        <f>'felh. bev.  '!E12</f>
        <v>29300</v>
      </c>
      <c r="F24" s="1350">
        <f>SUM(D24:E24)</f>
        <v>48747</v>
      </c>
      <c r="G24" s="1350"/>
      <c r="H24" s="1350">
        <v>11500</v>
      </c>
      <c r="I24" s="204">
        <f t="shared" si="4"/>
        <v>19447</v>
      </c>
      <c r="J24" s="204">
        <f t="shared" si="5"/>
        <v>40800</v>
      </c>
      <c r="K24" s="353">
        <f t="shared" si="6"/>
        <v>60247</v>
      </c>
      <c r="L24" s="1308" t="s">
        <v>66</v>
      </c>
      <c r="M24" s="1308">
        <f t="shared" ref="M24:P24" si="9">SUM(M10:M22)</f>
        <v>658225</v>
      </c>
      <c r="N24" s="1308">
        <f t="shared" si="9"/>
        <v>615749</v>
      </c>
      <c r="O24" s="1308">
        <f t="shared" si="9"/>
        <v>1273974</v>
      </c>
      <c r="P24" s="1354">
        <f t="shared" si="9"/>
        <v>0</v>
      </c>
      <c r="Q24" s="1308">
        <f>SUM(Q10:Q23)</f>
        <v>76691</v>
      </c>
      <c r="R24" s="1308">
        <f>SUM(R10:R23)</f>
        <v>-25436</v>
      </c>
      <c r="S24" s="1308">
        <f t="shared" si="1"/>
        <v>734916</v>
      </c>
      <c r="T24" s="1308">
        <f t="shared" si="2"/>
        <v>590313</v>
      </c>
      <c r="U24" s="1323">
        <f t="shared" si="3"/>
        <v>1325229</v>
      </c>
    </row>
    <row r="25" spans="1:21" x14ac:dyDescent="0.2">
      <c r="A25" s="1328"/>
      <c r="B25" s="570">
        <f t="shared" si="7"/>
        <v>17</v>
      </c>
      <c r="C25" s="1303" t="s">
        <v>199</v>
      </c>
      <c r="D25" s="1350">
        <f>'felh. bev.  '!D13+'felh. bev.  '!D14</f>
        <v>0</v>
      </c>
      <c r="E25" s="1350">
        <f>'felh. bev.  '!E13+'felh. bev.  '!E14</f>
        <v>24</v>
      </c>
      <c r="F25" s="1350">
        <f>SUM(D25:E25)</f>
        <v>24</v>
      </c>
      <c r="G25" s="1350"/>
      <c r="H25" s="1350"/>
      <c r="I25" s="204"/>
      <c r="J25" s="204">
        <f t="shared" si="5"/>
        <v>24</v>
      </c>
      <c r="K25" s="353">
        <f t="shared" si="6"/>
        <v>24</v>
      </c>
      <c r="L25" s="1304"/>
      <c r="M25" s="1304"/>
      <c r="N25" s="1304"/>
      <c r="O25" s="1304"/>
      <c r="P25" s="210"/>
      <c r="Q25" s="1304"/>
      <c r="R25" s="1304"/>
      <c r="S25" s="1304"/>
      <c r="T25" s="1304"/>
      <c r="U25" s="1320"/>
    </row>
    <row r="26" spans="1:21" x14ac:dyDescent="0.2">
      <c r="A26" s="1328"/>
      <c r="B26" s="570">
        <f t="shared" si="7"/>
        <v>18</v>
      </c>
      <c r="C26" s="1303" t="s">
        <v>200</v>
      </c>
      <c r="D26" s="204">
        <f>'felh. bev.  '!D21</f>
        <v>0</v>
      </c>
      <c r="E26" s="204">
        <f>'felh. bev.  '!E21</f>
        <v>153924</v>
      </c>
      <c r="F26" s="204">
        <f>'felh. bev.  '!F21</f>
        <v>153924</v>
      </c>
      <c r="G26" s="204"/>
      <c r="H26" s="204">
        <v>-153744</v>
      </c>
      <c r="I26" s="204">
        <f t="shared" si="4"/>
        <v>0</v>
      </c>
      <c r="J26" s="204">
        <f t="shared" si="5"/>
        <v>180</v>
      </c>
      <c r="K26" s="353">
        <f t="shared" si="6"/>
        <v>180</v>
      </c>
      <c r="L26" s="1310" t="s">
        <v>34</v>
      </c>
      <c r="M26" s="1309"/>
      <c r="N26" s="1309"/>
      <c r="O26" s="1304"/>
      <c r="P26" s="210"/>
      <c r="Q26" s="1304"/>
      <c r="R26" s="1304"/>
      <c r="S26" s="1304"/>
      <c r="T26" s="1304"/>
      <c r="U26" s="1320"/>
    </row>
    <row r="27" spans="1:21" x14ac:dyDescent="0.2">
      <c r="A27" s="1328"/>
      <c r="B27" s="570">
        <f t="shared" si="0"/>
        <v>19</v>
      </c>
      <c r="C27" s="123" t="s">
        <v>201</v>
      </c>
      <c r="D27" s="204"/>
      <c r="E27" s="204"/>
      <c r="F27" s="204"/>
      <c r="G27" s="204"/>
      <c r="H27" s="204"/>
      <c r="I27" s="204"/>
      <c r="J27" s="204"/>
      <c r="K27" s="353"/>
      <c r="L27" s="204" t="s">
        <v>270</v>
      </c>
      <c r="M27" s="1304">
        <f>'felhalm. kiad.  '!N19+'felhalm. kiad.  '!N60+'felhalm. kiad.  '!N70+'felhalm. kiad.  '!N75+'felhalm. kiad.  '!N83</f>
        <v>1697818</v>
      </c>
      <c r="N27" s="1304">
        <f>'felhalm. kiad.  '!Q19+'felhalm. kiad.  '!Q60+'felhalm. kiad.  '!Q70+'felhalm. kiad.  '!Q75+'felhalm. kiad.  '!Q83+'felhalm. kiad.  '!Q148</f>
        <v>154250</v>
      </c>
      <c r="O27" s="1304">
        <f t="shared" ref="O27:O32" si="10">SUM(M27:N27)</f>
        <v>1852068</v>
      </c>
      <c r="P27" s="210"/>
      <c r="Q27" s="1304">
        <v>-13005</v>
      </c>
      <c r="R27" s="1304">
        <v>5035</v>
      </c>
      <c r="S27" s="1304">
        <f t="shared" si="1"/>
        <v>1684813</v>
      </c>
      <c r="T27" s="1304">
        <f t="shared" si="2"/>
        <v>159285</v>
      </c>
      <c r="U27" s="1320">
        <f t="shared" si="3"/>
        <v>1844098</v>
      </c>
    </row>
    <row r="28" spans="1:21" x14ac:dyDescent="0.2">
      <c r="A28" s="1328"/>
      <c r="B28" s="570">
        <f t="shared" si="0"/>
        <v>20</v>
      </c>
      <c r="C28" s="123"/>
      <c r="D28" s="204"/>
      <c r="E28" s="204"/>
      <c r="F28" s="204"/>
      <c r="G28" s="204"/>
      <c r="H28" s="204"/>
      <c r="I28" s="204"/>
      <c r="J28" s="204"/>
      <c r="K28" s="353"/>
      <c r="L28" s="204" t="s">
        <v>227</v>
      </c>
      <c r="M28" s="1304">
        <f>'felhalm. kiad.  '!N28</f>
        <v>49715</v>
      </c>
      <c r="N28" s="1304">
        <f>'felhalm. kiad.  '!Q28</f>
        <v>0</v>
      </c>
      <c r="O28" s="1304">
        <f t="shared" si="10"/>
        <v>49715</v>
      </c>
      <c r="P28" s="210"/>
      <c r="Q28" s="1304"/>
      <c r="R28" s="1304"/>
      <c r="S28" s="1304">
        <f t="shared" si="1"/>
        <v>49715</v>
      </c>
      <c r="T28" s="1304">
        <f t="shared" si="2"/>
        <v>0</v>
      </c>
      <c r="U28" s="1320">
        <f t="shared" si="3"/>
        <v>49715</v>
      </c>
    </row>
    <row r="29" spans="1:21" x14ac:dyDescent="0.2">
      <c r="A29" s="1328"/>
      <c r="B29" s="570">
        <f t="shared" si="0"/>
        <v>21</v>
      </c>
      <c r="C29" s="1303" t="s">
        <v>202</v>
      </c>
      <c r="D29" s="204">
        <f>'tám, végl. pe.átv  '!C42</f>
        <v>0</v>
      </c>
      <c r="E29" s="204">
        <f>'tám, végl. pe.átv  '!D42</f>
        <v>19610</v>
      </c>
      <c r="F29" s="204">
        <f>'tám, végl. pe.átv  '!E42</f>
        <v>19610</v>
      </c>
      <c r="G29" s="204"/>
      <c r="H29" s="204"/>
      <c r="I29" s="204">
        <f t="shared" si="4"/>
        <v>0</v>
      </c>
      <c r="J29" s="204">
        <f t="shared" si="5"/>
        <v>19610</v>
      </c>
      <c r="K29" s="353">
        <f t="shared" si="6"/>
        <v>19610</v>
      </c>
      <c r="L29" s="204" t="s">
        <v>228</v>
      </c>
      <c r="M29" s="1304"/>
      <c r="N29" s="1304"/>
      <c r="O29" s="1304"/>
      <c r="P29" s="210"/>
      <c r="Q29" s="1304"/>
      <c r="R29" s="1304"/>
      <c r="S29" s="1304">
        <f t="shared" si="1"/>
        <v>0</v>
      </c>
      <c r="T29" s="1304">
        <f t="shared" si="2"/>
        <v>0</v>
      </c>
      <c r="U29" s="1320">
        <f t="shared" si="3"/>
        <v>0</v>
      </c>
    </row>
    <row r="30" spans="1:21" s="101" customFormat="1" x14ac:dyDescent="0.2">
      <c r="A30" s="1329"/>
      <c r="B30" s="570">
        <f t="shared" si="0"/>
        <v>22</v>
      </c>
      <c r="C30" s="1303" t="s">
        <v>267</v>
      </c>
      <c r="D30" s="204">
        <f>'felh. bev.  '!D34+'felh. bev.  '!D38</f>
        <v>9900</v>
      </c>
      <c r="E30" s="204">
        <f>'felh. bev.  '!E34+'felh. bev.  '!E38</f>
        <v>4131</v>
      </c>
      <c r="F30" s="204">
        <f>'felh. bev.  '!F34+'felh. bev.  '!F38</f>
        <v>14031</v>
      </c>
      <c r="G30" s="204"/>
      <c r="H30" s="204">
        <v>101</v>
      </c>
      <c r="I30" s="204">
        <f t="shared" si="4"/>
        <v>9900</v>
      </c>
      <c r="J30" s="204">
        <f t="shared" si="5"/>
        <v>4232</v>
      </c>
      <c r="K30" s="353">
        <f t="shared" si="6"/>
        <v>14132</v>
      </c>
      <c r="L30" s="204" t="s">
        <v>229</v>
      </c>
      <c r="M30" s="1304">
        <f>'felhalm. kiad.  '!N90</f>
        <v>12004</v>
      </c>
      <c r="N30" s="1304">
        <f>'felhalm. kiad.  '!Q90</f>
        <v>78232</v>
      </c>
      <c r="O30" s="1304">
        <f t="shared" si="10"/>
        <v>90236</v>
      </c>
      <c r="P30" s="1353"/>
      <c r="Q30" s="1371"/>
      <c r="R30" s="1371"/>
      <c r="S30" s="1304">
        <f t="shared" si="1"/>
        <v>12004</v>
      </c>
      <c r="T30" s="1304">
        <f t="shared" si="2"/>
        <v>78232</v>
      </c>
      <c r="U30" s="1320">
        <f t="shared" si="3"/>
        <v>90236</v>
      </c>
    </row>
    <row r="31" spans="1:21" s="101" customFormat="1" x14ac:dyDescent="0.2">
      <c r="A31" s="1329"/>
      <c r="B31" s="570">
        <f t="shared" si="0"/>
        <v>23</v>
      </c>
      <c r="C31" s="1303"/>
      <c r="D31" s="204"/>
      <c r="E31" s="204"/>
      <c r="F31" s="204"/>
      <c r="G31" s="204"/>
      <c r="H31" s="204"/>
      <c r="I31" s="204"/>
      <c r="J31" s="204"/>
      <c r="K31" s="353"/>
      <c r="L31" s="204" t="s">
        <v>1131</v>
      </c>
      <c r="M31" s="1304">
        <f>'felhalm. kiad.  '!N105</f>
        <v>0</v>
      </c>
      <c r="N31" s="1304">
        <f>'felhalm. kiad.  '!Q105</f>
        <v>5000</v>
      </c>
      <c r="O31" s="1304">
        <f t="shared" si="10"/>
        <v>5000</v>
      </c>
      <c r="P31" s="1353"/>
      <c r="Q31" s="1371"/>
      <c r="R31" s="1371"/>
      <c r="S31" s="1304">
        <f t="shared" si="1"/>
        <v>0</v>
      </c>
      <c r="T31" s="1304">
        <f t="shared" si="2"/>
        <v>5000</v>
      </c>
      <c r="U31" s="1320">
        <f t="shared" si="3"/>
        <v>5000</v>
      </c>
    </row>
    <row r="32" spans="1:21" x14ac:dyDescent="0.2">
      <c r="A32" s="1328"/>
      <c r="B32" s="570">
        <f t="shared" si="0"/>
        <v>24</v>
      </c>
      <c r="C32" s="1303"/>
      <c r="D32" s="204"/>
      <c r="E32" s="204"/>
      <c r="F32" s="204"/>
      <c r="G32" s="204"/>
      <c r="H32" s="204"/>
      <c r="I32" s="204"/>
      <c r="J32" s="204"/>
      <c r="K32" s="353"/>
      <c r="L32" s="204" t="s">
        <v>1129</v>
      </c>
      <c r="M32" s="1304">
        <f>'felhalm. kiad.  '!N100</f>
        <v>53844</v>
      </c>
      <c r="N32" s="1304">
        <f>'felhalm. kiad.  '!Q100</f>
        <v>4350</v>
      </c>
      <c r="O32" s="1304">
        <f t="shared" si="10"/>
        <v>58194</v>
      </c>
      <c r="P32" s="210"/>
      <c r="Q32" s="1304"/>
      <c r="R32" s="1304">
        <v>9530</v>
      </c>
      <c r="S32" s="1304">
        <f t="shared" si="1"/>
        <v>53844</v>
      </c>
      <c r="T32" s="1304">
        <f t="shared" si="2"/>
        <v>13880</v>
      </c>
      <c r="U32" s="1320">
        <f t="shared" si="3"/>
        <v>67724</v>
      </c>
    </row>
    <row r="33" spans="1:22" s="11" customFormat="1" x14ac:dyDescent="0.2">
      <c r="A33" s="1330"/>
      <c r="B33" s="570">
        <f t="shared" si="0"/>
        <v>25</v>
      </c>
      <c r="C33" s="1355" t="s">
        <v>52</v>
      </c>
      <c r="D33" s="1311">
        <f>D12+D20+D11+D17+D13+D29</f>
        <v>1403829</v>
      </c>
      <c r="E33" s="1311">
        <f>E12+E20+E11+E17+E13+E29</f>
        <v>1157224</v>
      </c>
      <c r="F33" s="1311">
        <f>F12+F20+F11+F17+F13+F29</f>
        <v>2561053</v>
      </c>
      <c r="G33" s="1311">
        <f>G11+G13+G12+G17+G20+G29</f>
        <v>98738</v>
      </c>
      <c r="H33" s="1311">
        <f>H11+H13+H12+H17+H20+H29</f>
        <v>-47604</v>
      </c>
      <c r="I33" s="1308">
        <f t="shared" si="4"/>
        <v>1502567</v>
      </c>
      <c r="J33" s="1308">
        <f t="shared" si="5"/>
        <v>1109620</v>
      </c>
      <c r="K33" s="1323">
        <f t="shared" si="6"/>
        <v>2612187</v>
      </c>
      <c r="L33" s="204" t="s">
        <v>1130</v>
      </c>
      <c r="M33" s="1304">
        <f>tartalék!C18</f>
        <v>34770</v>
      </c>
      <c r="N33" s="1304">
        <f>tartalék!D18</f>
        <v>135479</v>
      </c>
      <c r="O33" s="1304">
        <f>tartalék!E18</f>
        <v>170249</v>
      </c>
      <c r="P33" s="598"/>
      <c r="Q33" s="1304">
        <v>-12379</v>
      </c>
      <c r="R33" s="1304">
        <v>-134746</v>
      </c>
      <c r="S33" s="1304">
        <f t="shared" si="1"/>
        <v>22391</v>
      </c>
      <c r="T33" s="1304">
        <f t="shared" si="2"/>
        <v>733</v>
      </c>
      <c r="U33" s="1320">
        <f t="shared" si="3"/>
        <v>23124</v>
      </c>
    </row>
    <row r="34" spans="1:22" x14ac:dyDescent="0.2">
      <c r="A34" s="1328"/>
      <c r="B34" s="570">
        <f t="shared" si="0"/>
        <v>26</v>
      </c>
      <c r="C34" s="1356" t="s">
        <v>67</v>
      </c>
      <c r="D34" s="1308">
        <f>D15+D16+D24+D25+D26+D27+D30</f>
        <v>650625</v>
      </c>
      <c r="E34" s="1308">
        <f t="shared" ref="E34:F34" si="11">E15+E16+E24+E25+E26+E27+E30</f>
        <v>201919</v>
      </c>
      <c r="F34" s="1308">
        <f t="shared" si="11"/>
        <v>852544</v>
      </c>
      <c r="G34" s="1308">
        <f>G15+G16+G23+G24+G25+G26+G27+G30</f>
        <v>0</v>
      </c>
      <c r="H34" s="1308">
        <f>H15+H16+H23+H24+H25+H26+H27+H30</f>
        <v>-142143</v>
      </c>
      <c r="I34" s="1308">
        <f t="shared" si="4"/>
        <v>650625</v>
      </c>
      <c r="J34" s="1308">
        <f t="shared" si="5"/>
        <v>59776</v>
      </c>
      <c r="K34" s="1323">
        <f t="shared" si="6"/>
        <v>710401</v>
      </c>
      <c r="L34" s="1312" t="s">
        <v>68</v>
      </c>
      <c r="M34" s="1308">
        <f>SUM(M27:M33)</f>
        <v>1848151</v>
      </c>
      <c r="N34" s="1308">
        <f>SUM(N27:N33)</f>
        <v>377311</v>
      </c>
      <c r="O34" s="1308">
        <f>SUM(O27:O33)</f>
        <v>2225462</v>
      </c>
      <c r="P34" s="210"/>
      <c r="Q34" s="1308">
        <f>SUM(Q27:Q33)</f>
        <v>-25384</v>
      </c>
      <c r="R34" s="1308">
        <f>SUM(R27:R33)</f>
        <v>-120181</v>
      </c>
      <c r="S34" s="1308">
        <f t="shared" si="1"/>
        <v>1822767</v>
      </c>
      <c r="T34" s="1308">
        <f t="shared" si="2"/>
        <v>257130</v>
      </c>
      <c r="U34" s="1323">
        <f t="shared" si="3"/>
        <v>2079897</v>
      </c>
    </row>
    <row r="35" spans="1:22" x14ac:dyDescent="0.2">
      <c r="A35" s="1328"/>
      <c r="B35" s="570">
        <f t="shared" si="0"/>
        <v>27</v>
      </c>
      <c r="C35" s="128" t="s">
        <v>51</v>
      </c>
      <c r="D35" s="1309">
        <f>SUM(D33:D34)</f>
        <v>2054454</v>
      </c>
      <c r="E35" s="1309">
        <f>SUM(E33:E34)</f>
        <v>1359143</v>
      </c>
      <c r="F35" s="1309">
        <f>SUM(D35:E35)</f>
        <v>3413597</v>
      </c>
      <c r="G35" s="1309">
        <f>G33+G34</f>
        <v>98738</v>
      </c>
      <c r="H35" s="1309">
        <f>H33+H34</f>
        <v>-189747</v>
      </c>
      <c r="I35" s="1309">
        <f t="shared" si="4"/>
        <v>2153192</v>
      </c>
      <c r="J35" s="1309">
        <f t="shared" si="5"/>
        <v>1169396</v>
      </c>
      <c r="K35" s="1324">
        <f t="shared" si="6"/>
        <v>3322588</v>
      </c>
      <c r="L35" s="1309" t="s">
        <v>69</v>
      </c>
      <c r="M35" s="1309">
        <f t="shared" ref="M35:P35" si="12">M24+M34</f>
        <v>2506376</v>
      </c>
      <c r="N35" s="1309">
        <f t="shared" si="12"/>
        <v>993060</v>
      </c>
      <c r="O35" s="1309">
        <f t="shared" si="12"/>
        <v>3499436</v>
      </c>
      <c r="P35" s="126">
        <f t="shared" si="12"/>
        <v>0</v>
      </c>
      <c r="Q35" s="1309">
        <f>Q24+Q34</f>
        <v>51307</v>
      </c>
      <c r="R35" s="1309">
        <f t="shared" ref="R35:U35" si="13">R24+R34</f>
        <v>-145617</v>
      </c>
      <c r="S35" s="1309">
        <f t="shared" si="13"/>
        <v>2557683</v>
      </c>
      <c r="T35" s="1309">
        <f t="shared" si="13"/>
        <v>847443</v>
      </c>
      <c r="U35" s="1309">
        <f t="shared" si="13"/>
        <v>3405126</v>
      </c>
      <c r="V35" s="1390"/>
    </row>
    <row r="36" spans="1:22" x14ac:dyDescent="0.2">
      <c r="A36" s="1328"/>
      <c r="B36" s="570">
        <f t="shared" si="0"/>
        <v>28</v>
      </c>
      <c r="C36" s="1303"/>
      <c r="D36" s="1304"/>
      <c r="E36" s="1304"/>
      <c r="F36" s="1304"/>
      <c r="G36" s="1304"/>
      <c r="H36" s="1304"/>
      <c r="I36" s="204">
        <f t="shared" si="4"/>
        <v>0</v>
      </c>
      <c r="J36" s="204">
        <f t="shared" si="5"/>
        <v>0</v>
      </c>
      <c r="K36" s="353">
        <f t="shared" si="6"/>
        <v>0</v>
      </c>
      <c r="L36" s="1304"/>
      <c r="M36" s="1304"/>
      <c r="N36" s="1304"/>
      <c r="O36" s="1304"/>
      <c r="P36" s="210"/>
      <c r="Q36" s="1304"/>
      <c r="R36" s="1304"/>
      <c r="S36" s="210"/>
      <c r="T36" s="210"/>
      <c r="U36" s="1328"/>
    </row>
    <row r="37" spans="1:22" x14ac:dyDescent="0.2">
      <c r="A37" s="1328"/>
      <c r="B37" s="570">
        <f t="shared" si="0"/>
        <v>29</v>
      </c>
      <c r="C37" s="128" t="s">
        <v>23</v>
      </c>
      <c r="D37" s="1309">
        <f>D35-M35</f>
        <v>-451922</v>
      </c>
      <c r="E37" s="1309">
        <f>E35-N35</f>
        <v>366083</v>
      </c>
      <c r="F37" s="1309">
        <f>F35-O35</f>
        <v>-85839</v>
      </c>
      <c r="G37" s="1309">
        <f>G35-Q35</f>
        <v>47431</v>
      </c>
      <c r="H37" s="1309">
        <f t="shared" ref="H37:K37" si="14">H35-R35</f>
        <v>-44130</v>
      </c>
      <c r="I37" s="1309">
        <f t="shared" si="14"/>
        <v>-404491</v>
      </c>
      <c r="J37" s="1309">
        <f t="shared" si="14"/>
        <v>321953</v>
      </c>
      <c r="K37" s="1324">
        <f t="shared" si="14"/>
        <v>-82538</v>
      </c>
      <c r="L37" s="1308"/>
      <c r="M37" s="1308"/>
      <c r="N37" s="1308"/>
      <c r="O37" s="1308"/>
      <c r="P37" s="210"/>
      <c r="Q37" s="1304"/>
      <c r="R37" s="1304"/>
      <c r="S37" s="210"/>
      <c r="T37" s="210"/>
      <c r="U37" s="1328"/>
    </row>
    <row r="38" spans="1:22" s="11" customFormat="1" x14ac:dyDescent="0.2">
      <c r="A38" s="1330"/>
      <c r="B38" s="570">
        <f t="shared" si="0"/>
        <v>30</v>
      </c>
      <c r="C38" s="1303"/>
      <c r="D38" s="1304"/>
      <c r="E38" s="1304"/>
      <c r="F38" s="1304"/>
      <c r="G38" s="1304"/>
      <c r="H38" s="1304"/>
      <c r="I38" s="204"/>
      <c r="J38" s="204"/>
      <c r="K38" s="353"/>
      <c r="L38" s="1304"/>
      <c r="M38" s="1304"/>
      <c r="N38" s="1304"/>
      <c r="O38" s="1304"/>
      <c r="P38" s="598"/>
      <c r="Q38" s="1309"/>
      <c r="R38" s="1309"/>
      <c r="S38" s="598"/>
      <c r="T38" s="598"/>
      <c r="U38" s="1330"/>
    </row>
    <row r="39" spans="1:22" s="11" customFormat="1" x14ac:dyDescent="0.2">
      <c r="A39" s="1330"/>
      <c r="B39" s="570">
        <f t="shared" si="0"/>
        <v>31</v>
      </c>
      <c r="C39" s="1302" t="s">
        <v>53</v>
      </c>
      <c r="D39" s="1310"/>
      <c r="E39" s="1310"/>
      <c r="F39" s="1310"/>
      <c r="G39" s="1310"/>
      <c r="H39" s="1310"/>
      <c r="I39" s="204"/>
      <c r="J39" s="204"/>
      <c r="K39" s="353"/>
      <c r="L39" s="1310" t="s">
        <v>33</v>
      </c>
      <c r="M39" s="1309"/>
      <c r="N39" s="1309"/>
      <c r="O39" s="1309"/>
      <c r="P39" s="598"/>
      <c r="Q39" s="1309"/>
      <c r="R39" s="1309"/>
      <c r="S39" s="598"/>
      <c r="T39" s="598"/>
      <c r="U39" s="1330"/>
    </row>
    <row r="40" spans="1:22" s="11" customFormat="1" x14ac:dyDescent="0.2">
      <c r="A40" s="1330"/>
      <c r="B40" s="570">
        <f t="shared" si="0"/>
        <v>32</v>
      </c>
      <c r="C40" s="1357" t="s">
        <v>682</v>
      </c>
      <c r="D40" s="1310"/>
      <c r="E40" s="1310"/>
      <c r="F40" s="1310"/>
      <c r="G40" s="1310"/>
      <c r="H40" s="1310"/>
      <c r="I40" s="204"/>
      <c r="J40" s="204"/>
      <c r="K40" s="353"/>
      <c r="L40" s="1313" t="s">
        <v>4</v>
      </c>
      <c r="M40" s="1309"/>
      <c r="N40" s="598"/>
      <c r="O40" s="598"/>
      <c r="P40" s="598"/>
      <c r="Q40" s="1309"/>
      <c r="R40" s="1309"/>
      <c r="S40" s="598"/>
      <c r="T40" s="598"/>
      <c r="U40" s="1330"/>
    </row>
    <row r="41" spans="1:22" s="11" customFormat="1" ht="22.5" customHeight="1" x14ac:dyDescent="0.2">
      <c r="A41" s="1330"/>
      <c r="B41" s="1314">
        <f t="shared" si="0"/>
        <v>33</v>
      </c>
      <c r="C41" s="1358" t="s">
        <v>994</v>
      </c>
      <c r="D41" s="1359">
        <v>634227</v>
      </c>
      <c r="E41" s="1360"/>
      <c r="F41" s="1361">
        <f>SUM(D41:E41)</f>
        <v>634227</v>
      </c>
      <c r="G41" s="1361">
        <v>-45368</v>
      </c>
      <c r="H41" s="1361"/>
      <c r="I41" s="1359">
        <f t="shared" si="4"/>
        <v>588859</v>
      </c>
      <c r="J41" s="1359">
        <f t="shared" si="5"/>
        <v>0</v>
      </c>
      <c r="K41" s="1389">
        <f t="shared" si="6"/>
        <v>588859</v>
      </c>
      <c r="L41" s="77" t="s">
        <v>3</v>
      </c>
      <c r="M41" s="1309"/>
      <c r="N41" s="1309"/>
      <c r="O41" s="1309"/>
      <c r="P41" s="598"/>
      <c r="Q41" s="1309"/>
      <c r="R41" s="1309"/>
      <c r="S41" s="598"/>
      <c r="T41" s="598"/>
      <c r="U41" s="1330"/>
    </row>
    <row r="42" spans="1:22" x14ac:dyDescent="0.2">
      <c r="A42" s="1328"/>
      <c r="B42" s="570">
        <f t="shared" si="0"/>
        <v>34</v>
      </c>
      <c r="C42" s="96" t="s">
        <v>684</v>
      </c>
      <c r="D42" s="1316"/>
      <c r="E42" s="1313"/>
      <c r="F42" s="1313">
        <f>SUM(D42:E42)</f>
        <v>0</v>
      </c>
      <c r="G42" s="1313"/>
      <c r="H42" s="1313"/>
      <c r="I42" s="204"/>
      <c r="J42" s="204"/>
      <c r="K42" s="353"/>
      <c r="L42" s="204" t="s">
        <v>5</v>
      </c>
      <c r="M42" s="1309"/>
      <c r="N42" s="1309"/>
      <c r="O42" s="1309"/>
      <c r="P42" s="210"/>
      <c r="Q42" s="1304"/>
      <c r="R42" s="1304"/>
      <c r="S42" s="210"/>
      <c r="T42" s="210"/>
      <c r="U42" s="1328"/>
    </row>
    <row r="43" spans="1:22" x14ac:dyDescent="0.2">
      <c r="A43" s="1328"/>
      <c r="B43" s="570">
        <f t="shared" si="0"/>
        <v>35</v>
      </c>
      <c r="C43" s="96" t="s">
        <v>207</v>
      </c>
      <c r="D43" s="204"/>
      <c r="E43" s="204"/>
      <c r="F43" s="204"/>
      <c r="G43" s="204"/>
      <c r="H43" s="204"/>
      <c r="I43" s="204"/>
      <c r="J43" s="204"/>
      <c r="K43" s="353"/>
      <c r="L43" s="204" t="s">
        <v>6</v>
      </c>
      <c r="M43" s="1309"/>
      <c r="N43" s="1309"/>
      <c r="O43" s="1309"/>
      <c r="P43" s="210"/>
      <c r="Q43" s="1304"/>
      <c r="R43" s="1304"/>
      <c r="S43" s="210"/>
      <c r="T43" s="210"/>
      <c r="U43" s="1328"/>
    </row>
    <row r="44" spans="1:22" x14ac:dyDescent="0.2">
      <c r="A44" s="1328"/>
      <c r="B44" s="570">
        <f t="shared" si="0"/>
        <v>36</v>
      </c>
      <c r="C44" s="1362" t="s">
        <v>208</v>
      </c>
      <c r="D44" s="204">
        <v>610610</v>
      </c>
      <c r="E44" s="204">
        <v>248353</v>
      </c>
      <c r="F44" s="204">
        <f>D44+E44</f>
        <v>858963</v>
      </c>
      <c r="G44" s="204"/>
      <c r="H44" s="204"/>
      <c r="I44" s="204">
        <f t="shared" si="4"/>
        <v>610610</v>
      </c>
      <c r="J44" s="204">
        <f t="shared" si="5"/>
        <v>248353</v>
      </c>
      <c r="K44" s="353">
        <f t="shared" si="6"/>
        <v>858963</v>
      </c>
      <c r="L44" s="204" t="s">
        <v>7</v>
      </c>
      <c r="M44" s="1309"/>
      <c r="N44" s="1309"/>
      <c r="O44" s="1309"/>
      <c r="P44" s="210"/>
      <c r="Q44" s="1304"/>
      <c r="R44" s="1304"/>
      <c r="S44" s="210"/>
      <c r="T44" s="210"/>
      <c r="U44" s="1328"/>
    </row>
    <row r="45" spans="1:22" x14ac:dyDescent="0.2">
      <c r="A45" s="1328"/>
      <c r="B45" s="570">
        <f t="shared" si="0"/>
        <v>37</v>
      </c>
      <c r="C45" s="1362" t="s">
        <v>958</v>
      </c>
      <c r="D45" s="204"/>
      <c r="E45" s="204"/>
      <c r="F45" s="204"/>
      <c r="G45" s="204"/>
      <c r="H45" s="204"/>
      <c r="I45" s="204"/>
      <c r="J45" s="204"/>
      <c r="K45" s="353"/>
      <c r="L45" s="204"/>
      <c r="M45" s="1309"/>
      <c r="N45" s="1309"/>
      <c r="O45" s="1309"/>
      <c r="P45" s="210"/>
      <c r="Q45" s="1304"/>
      <c r="R45" s="1304"/>
      <c r="S45" s="210"/>
      <c r="T45" s="210"/>
      <c r="U45" s="1328"/>
    </row>
    <row r="46" spans="1:22" x14ac:dyDescent="0.2">
      <c r="A46" s="1328"/>
      <c r="B46" s="570">
        <f t="shared" si="0"/>
        <v>38</v>
      </c>
      <c r="C46" s="96" t="s">
        <v>209</v>
      </c>
      <c r="D46" s="204">
        <v>1969</v>
      </c>
      <c r="E46" s="204"/>
      <c r="F46" s="204">
        <f>D46+E46</f>
        <v>1969</v>
      </c>
      <c r="G46" s="204">
        <v>31243</v>
      </c>
      <c r="H46" s="204">
        <v>4730</v>
      </c>
      <c r="I46" s="204">
        <f t="shared" si="4"/>
        <v>33212</v>
      </c>
      <c r="J46" s="204">
        <f t="shared" si="5"/>
        <v>4730</v>
      </c>
      <c r="K46" s="353">
        <f t="shared" si="6"/>
        <v>37942</v>
      </c>
      <c r="L46" s="204" t="s">
        <v>8</v>
      </c>
      <c r="M46" s="1309"/>
      <c r="N46" s="1309"/>
      <c r="O46" s="1304"/>
      <c r="P46" s="210"/>
      <c r="Q46" s="1304"/>
      <c r="R46" s="1304"/>
      <c r="S46" s="210"/>
      <c r="T46" s="210"/>
      <c r="U46" s="1328"/>
    </row>
    <row r="47" spans="1:22" x14ac:dyDescent="0.2">
      <c r="A47" s="1328"/>
      <c r="B47" s="570">
        <f t="shared" si="0"/>
        <v>39</v>
      </c>
      <c r="C47" s="96" t="s">
        <v>686</v>
      </c>
      <c r="D47" s="1310"/>
      <c r="E47" s="1310"/>
      <c r="F47" s="1310"/>
      <c r="G47" s="1310"/>
      <c r="H47" s="1310"/>
      <c r="I47" s="204"/>
      <c r="J47" s="204"/>
      <c r="K47" s="353"/>
      <c r="L47" s="204" t="s">
        <v>271</v>
      </c>
      <c r="M47" s="1304">
        <v>31839</v>
      </c>
      <c r="N47" s="1304">
        <v>4260</v>
      </c>
      <c r="O47" s="1304">
        <f>SUM(M47:N47)</f>
        <v>36099</v>
      </c>
      <c r="P47" s="210"/>
      <c r="Q47" s="1304">
        <v>600</v>
      </c>
      <c r="R47" s="1304"/>
      <c r="S47" s="1304">
        <f>M47+Q47</f>
        <v>32439</v>
      </c>
      <c r="T47" s="1304">
        <f>N47+R47</f>
        <v>4260</v>
      </c>
      <c r="U47" s="1320">
        <f>S47+T47</f>
        <v>36699</v>
      </c>
    </row>
    <row r="48" spans="1:22" x14ac:dyDescent="0.2">
      <c r="A48" s="1328"/>
      <c r="B48" s="570">
        <f t="shared" si="0"/>
        <v>40</v>
      </c>
      <c r="C48" s="96" t="s">
        <v>687</v>
      </c>
      <c r="D48" s="204"/>
      <c r="E48" s="204"/>
      <c r="F48" s="204"/>
      <c r="G48" s="204"/>
      <c r="H48" s="204"/>
      <c r="I48" s="204"/>
      <c r="J48" s="204"/>
      <c r="K48" s="353"/>
      <c r="L48" s="204" t="s">
        <v>237</v>
      </c>
      <c r="M48" s="1304"/>
      <c r="N48" s="1304"/>
      <c r="O48" s="1304"/>
      <c r="P48" s="210"/>
      <c r="Q48" s="1304"/>
      <c r="R48" s="1304"/>
      <c r="S48" s="1304"/>
      <c r="T48" s="1304"/>
      <c r="U48" s="1320"/>
    </row>
    <row r="49" spans="1:21" x14ac:dyDescent="0.2">
      <c r="A49" s="1328"/>
      <c r="B49" s="570">
        <f t="shared" si="0"/>
        <v>41</v>
      </c>
      <c r="C49" s="96" t="s">
        <v>688</v>
      </c>
      <c r="D49" s="204"/>
      <c r="E49" s="204"/>
      <c r="F49" s="204"/>
      <c r="G49" s="204"/>
      <c r="H49" s="204"/>
      <c r="I49" s="204"/>
      <c r="J49" s="204"/>
      <c r="K49" s="353"/>
      <c r="L49" s="1306" t="s">
        <v>238</v>
      </c>
      <c r="M49" s="1304">
        <f>'pü.mérleg Hivatal'!D48+'püm. GAMESZ. '!D48+'püm-TASZII.'!D48+püm.Brunszvik!D48+'püm Festetics'!D48</f>
        <v>754712</v>
      </c>
      <c r="N49" s="1304">
        <f>'pü.mérleg Hivatal'!E48+'püm. GAMESZ. '!E48+'püm-TASZII.'!E48+püm.Brunszvik!E48+'püm Festetics'!E48</f>
        <v>563646</v>
      </c>
      <c r="O49" s="1304">
        <f>SUM(M49:N49)</f>
        <v>1318358</v>
      </c>
      <c r="P49" s="210"/>
      <c r="Q49" s="1304">
        <v>-5117</v>
      </c>
      <c r="R49" s="1304">
        <v>-3520</v>
      </c>
      <c r="S49" s="1304">
        <f t="shared" ref="S49:S54" si="15">M49+Q49</f>
        <v>749595</v>
      </c>
      <c r="T49" s="1304">
        <f t="shared" ref="T49:T54" si="16">N49+R49</f>
        <v>560126</v>
      </c>
      <c r="U49" s="1320">
        <f t="shared" ref="U49:U54" si="17">S49+T49</f>
        <v>1309721</v>
      </c>
    </row>
    <row r="50" spans="1:21" x14ac:dyDescent="0.2">
      <c r="A50" s="1328"/>
      <c r="B50" s="570">
        <f t="shared" si="0"/>
        <v>42</v>
      </c>
      <c r="C50" s="96" t="s">
        <v>0</v>
      </c>
      <c r="D50" s="204"/>
      <c r="E50" s="204"/>
      <c r="F50" s="204"/>
      <c r="G50" s="204"/>
      <c r="H50" s="204"/>
      <c r="I50" s="204"/>
      <c r="J50" s="204"/>
      <c r="K50" s="353"/>
      <c r="L50" s="1306" t="s">
        <v>239</v>
      </c>
      <c r="M50" s="1304">
        <f>'pü.mérleg Hivatal'!D49+'püm. GAMESZ. '!D49+'püm-TASZII.'!D49+püm.Brunszvik!D49+'püm Festetics'!D49</f>
        <v>8333</v>
      </c>
      <c r="N50" s="1304">
        <f>'pü.mérleg Hivatal'!E49+'püm. GAMESZ. '!E49+püm.Brunszvik!E49+'püm Festetics'!E49+'püm-TASZII.'!E49</f>
        <v>46530</v>
      </c>
      <c r="O50" s="1304">
        <f>'pü.mérleg Hivatal'!F49+'püm. GAMESZ. '!F49+'püm-TASZII.'!F49+püm.Brunszvik!F49+'püm Festetics'!F49</f>
        <v>54863</v>
      </c>
      <c r="P50" s="210"/>
      <c r="Q50" s="1304">
        <v>37823</v>
      </c>
      <c r="R50" s="1304">
        <v>-35880</v>
      </c>
      <c r="S50" s="1304">
        <f t="shared" si="15"/>
        <v>46156</v>
      </c>
      <c r="T50" s="1304">
        <f t="shared" si="16"/>
        <v>10650</v>
      </c>
      <c r="U50" s="1320">
        <f t="shared" si="17"/>
        <v>56806</v>
      </c>
    </row>
    <row r="51" spans="1:21" x14ac:dyDescent="0.2">
      <c r="A51" s="1328"/>
      <c r="B51" s="570">
        <f t="shared" si="0"/>
        <v>43</v>
      </c>
      <c r="C51" s="96" t="s">
        <v>1</v>
      </c>
      <c r="D51" s="204"/>
      <c r="E51" s="204"/>
      <c r="F51" s="204">
        <f>SUM(D51:E51)</f>
        <v>0</v>
      </c>
      <c r="G51" s="204"/>
      <c r="H51" s="204"/>
      <c r="I51" s="204"/>
      <c r="J51" s="204"/>
      <c r="K51" s="353"/>
      <c r="L51" s="204" t="s">
        <v>13</v>
      </c>
      <c r="M51" s="1363"/>
      <c r="N51" s="1363"/>
      <c r="O51" s="1363"/>
      <c r="P51" s="210"/>
      <c r="Q51" s="1304"/>
      <c r="R51" s="1304"/>
      <c r="S51" s="1304"/>
      <c r="T51" s="1304"/>
      <c r="U51" s="1320"/>
    </row>
    <row r="52" spans="1:21" x14ac:dyDescent="0.2">
      <c r="A52" s="1328"/>
      <c r="B52" s="570">
        <f t="shared" si="0"/>
        <v>44</v>
      </c>
      <c r="C52" s="96"/>
      <c r="D52" s="204"/>
      <c r="E52" s="204"/>
      <c r="F52" s="204"/>
      <c r="G52" s="204"/>
      <c r="H52" s="204"/>
      <c r="I52" s="204"/>
      <c r="J52" s="204"/>
      <c r="K52" s="353"/>
      <c r="L52" s="204" t="s">
        <v>14</v>
      </c>
      <c r="M52" s="1304"/>
      <c r="N52" s="1304"/>
      <c r="O52" s="1304"/>
      <c r="P52" s="210"/>
      <c r="Q52" s="1304"/>
      <c r="R52" s="1304"/>
      <c r="S52" s="1304"/>
      <c r="T52" s="1304"/>
      <c r="U52" s="1320"/>
    </row>
    <row r="53" spans="1:21" x14ac:dyDescent="0.2">
      <c r="A53" s="1328"/>
      <c r="B53" s="570">
        <f t="shared" si="0"/>
        <v>45</v>
      </c>
      <c r="C53" s="96"/>
      <c r="D53" s="204"/>
      <c r="E53" s="204"/>
      <c r="F53" s="204"/>
      <c r="G53" s="204"/>
      <c r="H53" s="204"/>
      <c r="I53" s="204"/>
      <c r="J53" s="204"/>
      <c r="K53" s="353"/>
      <c r="L53" s="204" t="s">
        <v>15</v>
      </c>
      <c r="M53" s="1304"/>
      <c r="N53" s="1304"/>
      <c r="O53" s="1304"/>
      <c r="P53" s="210"/>
      <c r="Q53" s="1304"/>
      <c r="R53" s="1304"/>
      <c r="S53" s="1304"/>
      <c r="T53" s="1304"/>
      <c r="U53" s="1320"/>
    </row>
    <row r="54" spans="1:21" ht="12" thickBot="1" x14ac:dyDescent="0.25">
      <c r="A54" s="1328"/>
      <c r="B54" s="570">
        <f t="shared" si="0"/>
        <v>46</v>
      </c>
      <c r="C54" s="128" t="s">
        <v>448</v>
      </c>
      <c r="D54" s="1309">
        <f>SUM(D40:D52)</f>
        <v>1246806</v>
      </c>
      <c r="E54" s="1309">
        <f>SUM(E40:E52)</f>
        <v>248353</v>
      </c>
      <c r="F54" s="1309">
        <f>SUM(F40:F52)</f>
        <v>1495159</v>
      </c>
      <c r="G54" s="1309">
        <f>SUM(G41:G53)</f>
        <v>-14125</v>
      </c>
      <c r="H54" s="1309">
        <f>SUM(H41:H53)</f>
        <v>4730</v>
      </c>
      <c r="I54" s="1309">
        <f t="shared" si="4"/>
        <v>1232681</v>
      </c>
      <c r="J54" s="1309">
        <f t="shared" si="5"/>
        <v>253083</v>
      </c>
      <c r="K54" s="1324">
        <f t="shared" si="6"/>
        <v>1485764</v>
      </c>
      <c r="L54" s="1310" t="s">
        <v>441</v>
      </c>
      <c r="M54" s="1309">
        <f t="shared" ref="M54:P54" si="18">SUM(M40:M53)</f>
        <v>794884</v>
      </c>
      <c r="N54" s="1309">
        <f t="shared" si="18"/>
        <v>614436</v>
      </c>
      <c r="O54" s="1309">
        <f t="shared" si="18"/>
        <v>1409320</v>
      </c>
      <c r="P54" s="126">
        <f t="shared" si="18"/>
        <v>0</v>
      </c>
      <c r="Q54" s="1309">
        <f>SUM(Q47:Q53)</f>
        <v>33306</v>
      </c>
      <c r="R54" s="1309">
        <f>SUM(R47:R53)</f>
        <v>-39400</v>
      </c>
      <c r="S54" s="1309">
        <f t="shared" si="15"/>
        <v>828190</v>
      </c>
      <c r="T54" s="1309">
        <f t="shared" si="16"/>
        <v>575036</v>
      </c>
      <c r="U54" s="1324">
        <f t="shared" si="17"/>
        <v>1403226</v>
      </c>
    </row>
    <row r="55" spans="1:21" ht="12" thickBot="1" x14ac:dyDescent="0.25">
      <c r="B55" s="697">
        <f t="shared" si="0"/>
        <v>47</v>
      </c>
      <c r="C55" s="696" t="s">
        <v>443</v>
      </c>
      <c r="D55" s="695">
        <f>D35+D54</f>
        <v>3301260</v>
      </c>
      <c r="E55" s="695">
        <f>E35+E54</f>
        <v>1607496</v>
      </c>
      <c r="F55" s="814">
        <f>F35+F54</f>
        <v>4908756</v>
      </c>
      <c r="G55" s="814">
        <f>G54+G35</f>
        <v>84613</v>
      </c>
      <c r="H55" s="814">
        <f t="shared" ref="H55:K55" si="19">H54+H35</f>
        <v>-185017</v>
      </c>
      <c r="I55" s="814">
        <f t="shared" si="19"/>
        <v>3385873</v>
      </c>
      <c r="J55" s="814">
        <f t="shared" si="19"/>
        <v>1422479</v>
      </c>
      <c r="K55" s="814">
        <f t="shared" si="19"/>
        <v>4808352</v>
      </c>
      <c r="L55" s="698" t="s">
        <v>442</v>
      </c>
      <c r="M55" s="695">
        <f t="shared" ref="M55:P55" si="20">M35+M54</f>
        <v>3301260</v>
      </c>
      <c r="N55" s="695">
        <f t="shared" si="20"/>
        <v>1607496</v>
      </c>
      <c r="O55" s="814">
        <f t="shared" si="20"/>
        <v>4908756</v>
      </c>
      <c r="P55" s="689">
        <f t="shared" si="20"/>
        <v>0</v>
      </c>
      <c r="Q55" s="695">
        <f>Q54+Q35</f>
        <v>84613</v>
      </c>
      <c r="R55" s="695">
        <f t="shared" ref="R55:U55" si="21">R54+R35</f>
        <v>-185017</v>
      </c>
      <c r="S55" s="695">
        <f t="shared" si="21"/>
        <v>3385873</v>
      </c>
      <c r="T55" s="695">
        <f t="shared" si="21"/>
        <v>1422479</v>
      </c>
      <c r="U55" s="695">
        <f t="shared" si="21"/>
        <v>4808352</v>
      </c>
    </row>
    <row r="56" spans="1:21" x14ac:dyDescent="0.2">
      <c r="C56" s="130"/>
      <c r="D56" s="129"/>
      <c r="E56" s="129"/>
      <c r="F56" s="129"/>
      <c r="G56" s="129"/>
      <c r="H56" s="129"/>
      <c r="I56" s="129"/>
      <c r="J56" s="129"/>
      <c r="K56" s="129"/>
      <c r="L56" s="126"/>
      <c r="M56" s="129"/>
      <c r="N56" s="129"/>
      <c r="O56" s="129"/>
      <c r="P56" s="10"/>
    </row>
    <row r="62" spans="1:21" x14ac:dyDescent="0.2">
      <c r="N62" s="124"/>
    </row>
  </sheetData>
  <sheetProtection selectLockedCells="1" selectUnlockedCells="1"/>
  <mergeCells count="15">
    <mergeCell ref="C1:U1"/>
    <mergeCell ref="B3:U3"/>
    <mergeCell ref="B4:U4"/>
    <mergeCell ref="B5:U5"/>
    <mergeCell ref="Q7:R7"/>
    <mergeCell ref="S7:U7"/>
    <mergeCell ref="M6:U6"/>
    <mergeCell ref="D6:K6"/>
    <mergeCell ref="B6:B8"/>
    <mergeCell ref="M7:O7"/>
    <mergeCell ref="C6:C7"/>
    <mergeCell ref="L6:L7"/>
    <mergeCell ref="D7:F7"/>
    <mergeCell ref="G7:H7"/>
    <mergeCell ref="I7:K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0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topLeftCell="E1" zoomScale="120" workbookViewId="0">
      <selection activeCell="K57" sqref="K57"/>
    </sheetView>
  </sheetViews>
  <sheetFormatPr defaultColWidth="9.140625" defaultRowHeight="11.25" x14ac:dyDescent="0.2"/>
  <cols>
    <col min="1" max="1" width="2.42578125" style="10" customWidth="1"/>
    <col min="2" max="2" width="3.7109375" style="118" customWidth="1"/>
    <col min="3" max="3" width="36.140625" style="118" customWidth="1"/>
    <col min="4" max="11" width="10" style="119" customWidth="1"/>
    <col min="12" max="12" width="36.140625" style="119" customWidth="1"/>
    <col min="13" max="13" width="10" style="119" customWidth="1"/>
    <col min="14" max="14" width="10.140625" style="119" customWidth="1"/>
    <col min="15" max="15" width="10" style="119" customWidth="1"/>
    <col min="16" max="16" width="10.42578125" style="10" customWidth="1"/>
    <col min="17" max="20" width="10" style="10" customWidth="1"/>
    <col min="21" max="16384" width="9.140625" style="10"/>
  </cols>
  <sheetData>
    <row r="1" spans="1:20" ht="12.75" customHeight="1" x14ac:dyDescent="0.2">
      <c r="C1" s="1398" t="s">
        <v>1418</v>
      </c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</row>
    <row r="2" spans="1:20" x14ac:dyDescent="0.2">
      <c r="L2" s="120"/>
      <c r="M2" s="120"/>
      <c r="N2" s="120"/>
      <c r="O2" s="120"/>
    </row>
    <row r="3" spans="1:20" x14ac:dyDescent="0.2">
      <c r="L3" s="120"/>
      <c r="M3" s="120"/>
      <c r="N3" s="120"/>
      <c r="O3" s="120"/>
    </row>
    <row r="4" spans="1:20" s="99" customFormat="1" ht="12.75" customHeight="1" x14ac:dyDescent="0.2">
      <c r="B4" s="1406" t="s">
        <v>77</v>
      </c>
      <c r="C4" s="1406"/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406"/>
      <c r="P4" s="1406"/>
      <c r="Q4" s="1406"/>
      <c r="R4" s="1406"/>
      <c r="S4" s="1406"/>
      <c r="T4" s="1406"/>
    </row>
    <row r="5" spans="1:20" s="99" customFormat="1" ht="12.75" customHeight="1" x14ac:dyDescent="0.2">
      <c r="B5" s="1535" t="s">
        <v>181</v>
      </c>
      <c r="C5" s="1535"/>
      <c r="D5" s="1535"/>
      <c r="E5" s="1535"/>
      <c r="F5" s="1535"/>
      <c r="G5" s="1535"/>
      <c r="H5" s="1535"/>
      <c r="I5" s="1535"/>
      <c r="J5" s="1535"/>
      <c r="K5" s="1535"/>
      <c r="L5" s="1535"/>
      <c r="M5" s="1535"/>
      <c r="N5" s="1535"/>
      <c r="O5" s="1535"/>
      <c r="P5" s="1535"/>
      <c r="Q5" s="1535"/>
      <c r="R5" s="1535"/>
      <c r="S5" s="1535"/>
      <c r="T5" s="1535"/>
    </row>
    <row r="6" spans="1:20" s="99" customFormat="1" x14ac:dyDescent="0.2">
      <c r="B6" s="121"/>
      <c r="C6" s="1406" t="s">
        <v>1136</v>
      </c>
      <c r="D6" s="1406"/>
      <c r="E6" s="1406"/>
      <c r="F6" s="1406"/>
      <c r="G6" s="1406"/>
      <c r="H6" s="1406"/>
      <c r="I6" s="1406"/>
      <c r="J6" s="1406"/>
      <c r="K6" s="1406"/>
      <c r="L6" s="1406"/>
      <c r="M6" s="1406"/>
      <c r="N6" s="1406"/>
      <c r="O6" s="1406"/>
      <c r="P6" s="1406"/>
      <c r="Q6" s="1406"/>
      <c r="R6" s="1406"/>
      <c r="S6" s="1406"/>
      <c r="T6" s="1406"/>
    </row>
    <row r="7" spans="1:20" s="99" customFormat="1" ht="12.75" customHeight="1" x14ac:dyDescent="0.2">
      <c r="B7" s="1405" t="s">
        <v>302</v>
      </c>
      <c r="C7" s="1405"/>
      <c r="D7" s="1405"/>
      <c r="E7" s="1405"/>
      <c r="F7" s="1405"/>
      <c r="G7" s="1405"/>
      <c r="H7" s="1405"/>
      <c r="I7" s="1405"/>
      <c r="J7" s="1405"/>
      <c r="K7" s="1405"/>
      <c r="L7" s="1405"/>
      <c r="M7" s="1405"/>
      <c r="N7" s="1405"/>
      <c r="O7" s="1405"/>
      <c r="P7" s="1405"/>
      <c r="Q7" s="1405"/>
      <c r="R7" s="1405"/>
      <c r="S7" s="1405"/>
      <c r="T7" s="1405"/>
    </row>
    <row r="8" spans="1:20" s="99" customFormat="1" ht="12.75" customHeight="1" x14ac:dyDescent="0.2">
      <c r="B8" s="1399" t="s">
        <v>56</v>
      </c>
      <c r="C8" s="1401" t="s">
        <v>57</v>
      </c>
      <c r="D8" s="1401" t="s">
        <v>58</v>
      </c>
      <c r="E8" s="1401"/>
      <c r="F8" s="1401"/>
      <c r="G8" s="1401"/>
      <c r="H8" s="1401"/>
      <c r="I8" s="1401"/>
      <c r="J8" s="1401"/>
      <c r="K8" s="1401"/>
      <c r="L8" s="1402" t="s">
        <v>59</v>
      </c>
      <c r="M8" s="1404" t="s">
        <v>60</v>
      </c>
      <c r="N8" s="1404"/>
      <c r="O8" s="1404"/>
      <c r="P8" s="1404"/>
      <c r="Q8" s="1404"/>
      <c r="R8" s="1404"/>
      <c r="S8" s="1404"/>
      <c r="T8" s="1404"/>
    </row>
    <row r="9" spans="1:20" s="99" customFormat="1" ht="12.75" customHeight="1" x14ac:dyDescent="0.2">
      <c r="B9" s="1399"/>
      <c r="C9" s="1401"/>
      <c r="D9" s="1403" t="s">
        <v>1413</v>
      </c>
      <c r="E9" s="1403"/>
      <c r="F9" s="1403"/>
      <c r="G9" s="1403" t="s">
        <v>1400</v>
      </c>
      <c r="H9" s="1403"/>
      <c r="I9" s="1403" t="s">
        <v>1416</v>
      </c>
      <c r="J9" s="1403"/>
      <c r="K9" s="1403"/>
      <c r="L9" s="1534"/>
      <c r="M9" s="1403" t="s">
        <v>1413</v>
      </c>
      <c r="N9" s="1403"/>
      <c r="O9" s="1403"/>
      <c r="P9" s="1403" t="s">
        <v>1400</v>
      </c>
      <c r="Q9" s="1403"/>
      <c r="R9" s="1403" t="s">
        <v>1412</v>
      </c>
      <c r="S9" s="1403"/>
      <c r="T9" s="1403"/>
    </row>
    <row r="10" spans="1:20" s="100" customFormat="1" ht="36.6" customHeight="1" x14ac:dyDescent="0.2">
      <c r="B10" s="1399"/>
      <c r="C10" s="1318" t="s">
        <v>61</v>
      </c>
      <c r="D10" s="817" t="s">
        <v>62</v>
      </c>
      <c r="E10" s="817" t="s">
        <v>63</v>
      </c>
      <c r="F10" s="817" t="s">
        <v>64</v>
      </c>
      <c r="G10" s="817" t="s">
        <v>62</v>
      </c>
      <c r="H10" s="817" t="s">
        <v>63</v>
      </c>
      <c r="I10" s="817" t="s">
        <v>62</v>
      </c>
      <c r="J10" s="817" t="s">
        <v>63</v>
      </c>
      <c r="K10" s="817" t="s">
        <v>64</v>
      </c>
      <c r="L10" s="1317" t="s">
        <v>65</v>
      </c>
      <c r="M10" s="817" t="s">
        <v>62</v>
      </c>
      <c r="N10" s="817" t="s">
        <v>63</v>
      </c>
      <c r="O10" s="817" t="s">
        <v>64</v>
      </c>
      <c r="P10" s="817" t="s">
        <v>62</v>
      </c>
      <c r="Q10" s="817" t="s">
        <v>63</v>
      </c>
      <c r="R10" s="817" t="s">
        <v>62</v>
      </c>
      <c r="S10" s="817" t="s">
        <v>63</v>
      </c>
      <c r="T10" s="817" t="s">
        <v>64</v>
      </c>
    </row>
    <row r="11" spans="1:20" ht="11.45" customHeight="1" x14ac:dyDescent="0.2">
      <c r="A11" s="1328"/>
      <c r="B11" s="570">
        <v>1</v>
      </c>
      <c r="C11" s="1349" t="s">
        <v>24</v>
      </c>
      <c r="D11" s="126"/>
      <c r="E11" s="126"/>
      <c r="F11" s="126"/>
      <c r="G11" s="126"/>
      <c r="H11" s="126"/>
      <c r="I11" s="126"/>
      <c r="J11" s="126"/>
      <c r="K11" s="1366"/>
      <c r="L11" s="1302" t="s">
        <v>25</v>
      </c>
      <c r="M11" s="126"/>
      <c r="N11" s="126"/>
      <c r="O11" s="124"/>
      <c r="P11" s="210"/>
      <c r="Q11" s="210"/>
      <c r="R11" s="210"/>
      <c r="S11" s="210"/>
      <c r="T11" s="1346"/>
    </row>
    <row r="12" spans="1:20" x14ac:dyDescent="0.2">
      <c r="A12" s="1328"/>
      <c r="B12" s="570">
        <f t="shared" ref="B12:B54" si="0">B11+1</f>
        <v>2</v>
      </c>
      <c r="C12" s="123" t="s">
        <v>35</v>
      </c>
      <c r="D12" s="96"/>
      <c r="E12" s="96"/>
      <c r="F12" s="96">
        <f>SUM(D12:E12)</f>
        <v>0</v>
      </c>
      <c r="G12" s="96"/>
      <c r="H12" s="96"/>
      <c r="I12" s="96"/>
      <c r="J12" s="96"/>
      <c r="K12" s="341"/>
      <c r="L12" s="96" t="s">
        <v>215</v>
      </c>
      <c r="M12" s="96">
        <v>100121</v>
      </c>
      <c r="N12" s="96">
        <v>103567</v>
      </c>
      <c r="O12" s="1368">
        <f>SUM(M12:N12)</f>
        <v>203688</v>
      </c>
      <c r="P12" s="1304">
        <v>-5022</v>
      </c>
      <c r="Q12" s="1304">
        <v>-5500</v>
      </c>
      <c r="R12" s="1304">
        <f>M12+P12</f>
        <v>95099</v>
      </c>
      <c r="S12" s="1304">
        <f>N12+Q12</f>
        <v>98067</v>
      </c>
      <c r="T12" s="1320">
        <f>R12+S12</f>
        <v>193166</v>
      </c>
    </row>
    <row r="13" spans="1:20" x14ac:dyDescent="0.2">
      <c r="A13" s="1328"/>
      <c r="B13" s="570">
        <f t="shared" si="0"/>
        <v>3</v>
      </c>
      <c r="C13" s="123" t="s">
        <v>36</v>
      </c>
      <c r="D13" s="96"/>
      <c r="E13" s="96"/>
      <c r="F13" s="96">
        <f>SUM(D13:E13)</f>
        <v>0</v>
      </c>
      <c r="G13" s="96"/>
      <c r="H13" s="96"/>
      <c r="I13" s="96"/>
      <c r="J13" s="96"/>
      <c r="K13" s="341"/>
      <c r="L13" s="1362" t="s">
        <v>216</v>
      </c>
      <c r="M13" s="96">
        <v>22088</v>
      </c>
      <c r="N13" s="96">
        <v>21706</v>
      </c>
      <c r="O13" s="1368">
        <f>SUM(M13:N13)</f>
        <v>43794</v>
      </c>
      <c r="P13" s="1304">
        <v>-2000</v>
      </c>
      <c r="Q13" s="1304">
        <v>-2500</v>
      </c>
      <c r="R13" s="1304">
        <f t="shared" ref="R13:R34" si="1">M13+P13</f>
        <v>20088</v>
      </c>
      <c r="S13" s="1304">
        <f t="shared" ref="S13:S34" si="2">N13+Q13</f>
        <v>19206</v>
      </c>
      <c r="T13" s="1320">
        <f t="shared" ref="T13:T34" si="3">R13+S13</f>
        <v>39294</v>
      </c>
    </row>
    <row r="14" spans="1:20" x14ac:dyDescent="0.2">
      <c r="A14" s="1328"/>
      <c r="B14" s="570">
        <f t="shared" si="0"/>
        <v>4</v>
      </c>
      <c r="C14" s="123" t="s">
        <v>37</v>
      </c>
      <c r="D14" s="96">
        <f>'tám, végl. pe.átv  '!C49</f>
        <v>5647</v>
      </c>
      <c r="E14" s="96"/>
      <c r="F14" s="96">
        <f>SUM(D14:E14)</f>
        <v>5647</v>
      </c>
      <c r="G14" s="96">
        <v>-2800</v>
      </c>
      <c r="H14" s="96"/>
      <c r="I14" s="96">
        <f>D14+G14</f>
        <v>2847</v>
      </c>
      <c r="J14" s="96">
        <f>E14+H14</f>
        <v>0</v>
      </c>
      <c r="K14" s="341">
        <f>I14+J14</f>
        <v>2847</v>
      </c>
      <c r="L14" s="96" t="s">
        <v>217</v>
      </c>
      <c r="M14" s="96">
        <v>7761</v>
      </c>
      <c r="N14" s="96">
        <v>60091</v>
      </c>
      <c r="O14" s="1368">
        <f>SUM(M14:N14)</f>
        <v>67852</v>
      </c>
      <c r="P14" s="1304">
        <v>-2800</v>
      </c>
      <c r="Q14" s="1304">
        <v>-3000</v>
      </c>
      <c r="R14" s="1304">
        <f t="shared" si="1"/>
        <v>4961</v>
      </c>
      <c r="S14" s="1304">
        <f t="shared" si="2"/>
        <v>57091</v>
      </c>
      <c r="T14" s="1320">
        <f t="shared" si="3"/>
        <v>62052</v>
      </c>
    </row>
    <row r="15" spans="1:20" ht="12" customHeight="1" x14ac:dyDescent="0.2">
      <c r="A15" s="1328"/>
      <c r="B15" s="570">
        <f t="shared" si="0"/>
        <v>5</v>
      </c>
      <c r="C15" s="1369"/>
      <c r="D15" s="96"/>
      <c r="E15" s="96"/>
      <c r="F15" s="96"/>
      <c r="G15" s="96"/>
      <c r="H15" s="96"/>
      <c r="I15" s="96"/>
      <c r="J15" s="96"/>
      <c r="K15" s="341"/>
      <c r="L15" s="96"/>
      <c r="M15" s="96"/>
      <c r="N15" s="96"/>
      <c r="O15" s="1368"/>
      <c r="P15" s="1304"/>
      <c r="Q15" s="1304"/>
      <c r="R15" s="1304"/>
      <c r="S15" s="1304"/>
      <c r="T15" s="1320"/>
    </row>
    <row r="16" spans="1:20" x14ac:dyDescent="0.2">
      <c r="A16" s="1328"/>
      <c r="B16" s="570">
        <f t="shared" si="0"/>
        <v>6</v>
      </c>
      <c r="C16" s="123" t="s">
        <v>38</v>
      </c>
      <c r="D16" s="96"/>
      <c r="E16" s="96"/>
      <c r="F16" s="96">
        <f>SUM(D16:E16)</f>
        <v>0</v>
      </c>
      <c r="G16" s="96"/>
      <c r="H16" s="96"/>
      <c r="I16" s="96"/>
      <c r="J16" s="96"/>
      <c r="K16" s="341"/>
      <c r="L16" s="96" t="s">
        <v>28</v>
      </c>
      <c r="M16" s="124">
        <v>350</v>
      </c>
      <c r="N16" s="124">
        <f>'ellátottak hivatal'!F17</f>
        <v>0</v>
      </c>
      <c r="O16" s="1368">
        <f>SUM(M16:N16)</f>
        <v>350</v>
      </c>
      <c r="P16" s="1304">
        <v>-350</v>
      </c>
      <c r="Q16" s="1304"/>
      <c r="R16" s="1304">
        <f t="shared" si="1"/>
        <v>0</v>
      </c>
      <c r="S16" s="1304">
        <f t="shared" si="2"/>
        <v>0</v>
      </c>
      <c r="T16" s="1320">
        <f t="shared" si="3"/>
        <v>0</v>
      </c>
    </row>
    <row r="17" spans="1:20" x14ac:dyDescent="0.2">
      <c r="A17" s="1328"/>
      <c r="B17" s="570">
        <f t="shared" si="0"/>
        <v>7</v>
      </c>
      <c r="C17" s="123"/>
      <c r="D17" s="96"/>
      <c r="E17" s="96"/>
      <c r="F17" s="96"/>
      <c r="G17" s="96"/>
      <c r="H17" s="96"/>
      <c r="I17" s="96"/>
      <c r="J17" s="96"/>
      <c r="K17" s="341"/>
      <c r="L17" s="96" t="s">
        <v>30</v>
      </c>
      <c r="M17" s="124"/>
      <c r="N17" s="124"/>
      <c r="O17" s="1368"/>
      <c r="P17" s="1304"/>
      <c r="Q17" s="1304"/>
      <c r="R17" s="1304"/>
      <c r="S17" s="1304"/>
      <c r="T17" s="1320"/>
    </row>
    <row r="18" spans="1:20" x14ac:dyDescent="0.2">
      <c r="A18" s="1328"/>
      <c r="B18" s="570">
        <f t="shared" si="0"/>
        <v>8</v>
      </c>
      <c r="C18" s="123" t="s">
        <v>39</v>
      </c>
      <c r="D18" s="96"/>
      <c r="E18" s="96"/>
      <c r="F18" s="96">
        <f>SUM(D18:E18)</f>
        <v>0</v>
      </c>
      <c r="G18" s="96"/>
      <c r="H18" s="96"/>
      <c r="I18" s="96"/>
      <c r="J18" s="96"/>
      <c r="K18" s="341"/>
      <c r="L18" s="96" t="s">
        <v>446</v>
      </c>
      <c r="M18" s="124">
        <f>mc.pe.átad!E80</f>
        <v>13</v>
      </c>
      <c r="N18" s="124">
        <f>mc.pe.átad!F80</f>
        <v>0</v>
      </c>
      <c r="O18" s="124">
        <f>mc.pe.átad!G80</f>
        <v>13</v>
      </c>
      <c r="P18" s="1304">
        <v>13</v>
      </c>
      <c r="Q18" s="1304"/>
      <c r="R18" s="1304">
        <f t="shared" si="1"/>
        <v>26</v>
      </c>
      <c r="S18" s="1304">
        <f t="shared" si="2"/>
        <v>0</v>
      </c>
      <c r="T18" s="1320">
        <f t="shared" si="3"/>
        <v>26</v>
      </c>
    </row>
    <row r="19" spans="1:20" ht="12" thickBot="1" x14ac:dyDescent="0.25">
      <c r="A19" s="1328"/>
      <c r="B19" s="570">
        <f t="shared" si="0"/>
        <v>9</v>
      </c>
      <c r="C19" s="125" t="s">
        <v>40</v>
      </c>
      <c r="D19" s="1368"/>
      <c r="E19" s="1368"/>
      <c r="F19" s="1368"/>
      <c r="G19" s="1368"/>
      <c r="H19" s="1368"/>
      <c r="I19" s="1368"/>
      <c r="J19" s="1368"/>
      <c r="K19" s="1376"/>
      <c r="L19" s="96" t="s">
        <v>445</v>
      </c>
      <c r="M19" s="124">
        <f>mc.pe.átad!E84</f>
        <v>9</v>
      </c>
      <c r="N19" s="124">
        <f>mc.pe.átad!F84</f>
        <v>0</v>
      </c>
      <c r="O19" s="124">
        <f>mc.pe.átad!G84</f>
        <v>9</v>
      </c>
      <c r="P19" s="1304">
        <v>9</v>
      </c>
      <c r="Q19" s="1304"/>
      <c r="R19" s="1304">
        <f t="shared" si="1"/>
        <v>18</v>
      </c>
      <c r="S19" s="1304">
        <f t="shared" si="2"/>
        <v>0</v>
      </c>
      <c r="T19" s="1320">
        <f t="shared" si="3"/>
        <v>18</v>
      </c>
    </row>
    <row r="20" spans="1:20" ht="12" thickBot="1" x14ac:dyDescent="0.25">
      <c r="A20" s="1328"/>
      <c r="B20" s="570">
        <f t="shared" si="0"/>
        <v>10</v>
      </c>
      <c r="C20" s="123" t="s">
        <v>194</v>
      </c>
      <c r="D20" s="1350">
        <f>'mük. bev.Önkor és Hivatal '!C80</f>
        <v>15</v>
      </c>
      <c r="E20" s="1378">
        <f>'mük. bev.Önkor és Hivatal '!D80</f>
        <v>402</v>
      </c>
      <c r="F20" s="1350">
        <f>SUM(D20:E20)</f>
        <v>417</v>
      </c>
      <c r="G20" s="1350"/>
      <c r="H20" s="1350">
        <v>384</v>
      </c>
      <c r="I20" s="1350">
        <f>D20+G20</f>
        <v>15</v>
      </c>
      <c r="J20" s="1350">
        <f>E20+H20</f>
        <v>786</v>
      </c>
      <c r="K20" s="1367">
        <f>I20+J20</f>
        <v>801</v>
      </c>
      <c r="L20" s="96" t="s">
        <v>222</v>
      </c>
      <c r="M20" s="124"/>
      <c r="N20" s="124"/>
      <c r="O20" s="124"/>
      <c r="P20" s="1304"/>
      <c r="Q20" s="1304"/>
      <c r="R20" s="1304"/>
      <c r="S20" s="1304"/>
      <c r="T20" s="1320"/>
    </row>
    <row r="21" spans="1:20" x14ac:dyDescent="0.2">
      <c r="A21" s="1328"/>
      <c r="B21" s="570">
        <f t="shared" si="0"/>
        <v>11</v>
      </c>
      <c r="C21" s="1303"/>
      <c r="D21" s="1368"/>
      <c r="E21" s="1368"/>
      <c r="F21" s="1368"/>
      <c r="G21" s="1368"/>
      <c r="H21" s="1368"/>
      <c r="I21" s="1368"/>
      <c r="J21" s="1350"/>
      <c r="K21" s="1367"/>
      <c r="L21" s="96" t="s">
        <v>438</v>
      </c>
      <c r="M21" s="124"/>
      <c r="N21" s="124"/>
      <c r="O21" s="124"/>
      <c r="P21" s="1304"/>
      <c r="Q21" s="1304"/>
      <c r="R21" s="1304"/>
      <c r="S21" s="1304"/>
      <c r="T21" s="1320"/>
    </row>
    <row r="22" spans="1:20" s="101" customFormat="1" x14ac:dyDescent="0.2">
      <c r="A22" s="1329"/>
      <c r="B22" s="570">
        <f t="shared" si="0"/>
        <v>12</v>
      </c>
      <c r="C22" s="1303" t="s">
        <v>42</v>
      </c>
      <c r="D22" s="1368"/>
      <c r="E22" s="1368"/>
      <c r="F22" s="1368"/>
      <c r="G22" s="1368"/>
      <c r="H22" s="1368"/>
      <c r="I22" s="1368"/>
      <c r="J22" s="1350"/>
      <c r="K22" s="1367"/>
      <c r="L22" s="96" t="s">
        <v>439</v>
      </c>
      <c r="M22" s="124"/>
      <c r="N22" s="124"/>
      <c r="O22" s="124"/>
      <c r="P22" s="1371"/>
      <c r="Q22" s="1371"/>
      <c r="R22" s="1304"/>
      <c r="S22" s="1304"/>
      <c r="T22" s="1320"/>
    </row>
    <row r="23" spans="1:20" s="101" customFormat="1" x14ac:dyDescent="0.2">
      <c r="A23" s="1329"/>
      <c r="B23" s="570">
        <f t="shared" si="0"/>
        <v>13</v>
      </c>
      <c r="C23" s="1303" t="s">
        <v>43</v>
      </c>
      <c r="D23" s="1368"/>
      <c r="E23" s="1368"/>
      <c r="F23" s="1368"/>
      <c r="G23" s="1368"/>
      <c r="H23" s="1368"/>
      <c r="I23" s="1368"/>
      <c r="J23" s="1350"/>
      <c r="K23" s="1367"/>
      <c r="L23" s="124"/>
      <c r="M23" s="124"/>
      <c r="N23" s="124"/>
      <c r="O23" s="124"/>
      <c r="P23" s="1371"/>
      <c r="Q23" s="1371"/>
      <c r="R23" s="1304"/>
      <c r="S23" s="1304"/>
      <c r="T23" s="1320"/>
    </row>
    <row r="24" spans="1:20" x14ac:dyDescent="0.2">
      <c r="A24" s="1328"/>
      <c r="B24" s="570">
        <f t="shared" si="0"/>
        <v>14</v>
      </c>
      <c r="C24" s="123" t="s">
        <v>44</v>
      </c>
      <c r="D24" s="1370"/>
      <c r="E24" s="1370"/>
      <c r="F24" s="1370"/>
      <c r="G24" s="1370"/>
      <c r="H24" s="1370"/>
      <c r="I24" s="1370"/>
      <c r="J24" s="1350"/>
      <c r="K24" s="1367"/>
      <c r="L24" s="1354" t="s">
        <v>66</v>
      </c>
      <c r="M24" s="1354">
        <f>SUM(M12:M22)</f>
        <v>130342</v>
      </c>
      <c r="N24" s="1354">
        <f>SUM(N12:N22)</f>
        <v>185364</v>
      </c>
      <c r="O24" s="1354">
        <f>SUM(O12:O22)</f>
        <v>315706</v>
      </c>
      <c r="P24" s="1304">
        <f>SUM(P12:P23)</f>
        <v>-10150</v>
      </c>
      <c r="Q24" s="1304">
        <f>SUM(Q12:Q23)</f>
        <v>-11000</v>
      </c>
      <c r="R24" s="1304">
        <f t="shared" si="1"/>
        <v>120192</v>
      </c>
      <c r="S24" s="1304">
        <f t="shared" si="2"/>
        <v>174364</v>
      </c>
      <c r="T24" s="1320">
        <f t="shared" si="3"/>
        <v>294556</v>
      </c>
    </row>
    <row r="25" spans="1:20" x14ac:dyDescent="0.2">
      <c r="A25" s="1328"/>
      <c r="B25" s="570">
        <f t="shared" si="0"/>
        <v>15</v>
      </c>
      <c r="C25" s="123" t="s">
        <v>45</v>
      </c>
      <c r="D25" s="1368"/>
      <c r="E25" s="1368"/>
      <c r="F25" s="1368"/>
      <c r="G25" s="1368"/>
      <c r="H25" s="1368">
        <v>53</v>
      </c>
      <c r="I25" s="1368"/>
      <c r="J25" s="1350">
        <f t="shared" ref="J25" si="4">E25+H25</f>
        <v>53</v>
      </c>
      <c r="K25" s="1367">
        <f t="shared" ref="K25" si="5">I25+J25</f>
        <v>53</v>
      </c>
      <c r="L25" s="124"/>
      <c r="M25" s="124"/>
      <c r="N25" s="124"/>
      <c r="O25" s="124"/>
      <c r="P25" s="1304"/>
      <c r="Q25" s="1304"/>
      <c r="R25" s="1304"/>
      <c r="S25" s="1304"/>
      <c r="T25" s="1320"/>
    </row>
    <row r="26" spans="1:20" x14ac:dyDescent="0.2">
      <c r="A26" s="1328"/>
      <c r="B26" s="570">
        <f t="shared" si="0"/>
        <v>16</v>
      </c>
      <c r="C26" s="123" t="s">
        <v>46</v>
      </c>
      <c r="D26" s="1302"/>
      <c r="E26" s="1302"/>
      <c r="F26" s="1302"/>
      <c r="G26" s="1302"/>
      <c r="H26" s="1302"/>
      <c r="I26" s="1302"/>
      <c r="J26" s="1302"/>
      <c r="K26" s="375"/>
      <c r="L26" s="1302" t="s">
        <v>34</v>
      </c>
      <c r="M26" s="126"/>
      <c r="N26" s="126"/>
      <c r="O26" s="124"/>
      <c r="P26" s="1304"/>
      <c r="Q26" s="1304"/>
      <c r="R26" s="1304"/>
      <c r="S26" s="1304"/>
      <c r="T26" s="1320"/>
    </row>
    <row r="27" spans="1:20" x14ac:dyDescent="0.2">
      <c r="A27" s="1328"/>
      <c r="B27" s="570">
        <f t="shared" si="0"/>
        <v>17</v>
      </c>
      <c r="C27" s="123" t="s">
        <v>47</v>
      </c>
      <c r="D27" s="96"/>
      <c r="E27" s="96"/>
      <c r="F27" s="96"/>
      <c r="G27" s="96"/>
      <c r="H27" s="96"/>
      <c r="I27" s="96"/>
      <c r="J27" s="96"/>
      <c r="K27" s="341"/>
      <c r="L27" s="96" t="s">
        <v>226</v>
      </c>
      <c r="M27" s="124">
        <f>'felhalm. kiad.  '!N115</f>
        <v>2833</v>
      </c>
      <c r="N27" s="124">
        <f>'felhalm. kiad.  '!Q115</f>
        <v>6335</v>
      </c>
      <c r="O27" s="124">
        <f>SUM(M27:N27)</f>
        <v>9168</v>
      </c>
      <c r="P27" s="1304">
        <v>0</v>
      </c>
      <c r="Q27" s="1304">
        <f t="shared" ref="Q27:Q33" si="6">SUM(P27)</f>
        <v>0</v>
      </c>
      <c r="R27" s="1304">
        <f t="shared" si="1"/>
        <v>2833</v>
      </c>
      <c r="S27" s="1304">
        <f t="shared" si="2"/>
        <v>6335</v>
      </c>
      <c r="T27" s="1320">
        <f t="shared" si="3"/>
        <v>9168</v>
      </c>
    </row>
    <row r="28" spans="1:20" x14ac:dyDescent="0.2">
      <c r="A28" s="1328"/>
      <c r="B28" s="570">
        <f t="shared" si="0"/>
        <v>18</v>
      </c>
      <c r="C28" s="123"/>
      <c r="D28" s="96"/>
      <c r="E28" s="96"/>
      <c r="F28" s="96"/>
      <c r="G28" s="96"/>
      <c r="H28" s="96"/>
      <c r="I28" s="96"/>
      <c r="J28" s="96"/>
      <c r="K28" s="341"/>
      <c r="L28" s="96" t="s">
        <v>31</v>
      </c>
      <c r="M28" s="124"/>
      <c r="N28" s="124"/>
      <c r="O28" s="124"/>
      <c r="P28" s="1304"/>
      <c r="Q28" s="1304"/>
      <c r="R28" s="1304"/>
      <c r="S28" s="1304"/>
      <c r="T28" s="1320"/>
    </row>
    <row r="29" spans="1:20" x14ac:dyDescent="0.2">
      <c r="A29" s="1328"/>
      <c r="B29" s="570">
        <f t="shared" si="0"/>
        <v>19</v>
      </c>
      <c r="C29" s="1303" t="s">
        <v>50</v>
      </c>
      <c r="D29" s="96"/>
      <c r="E29" s="96"/>
      <c r="F29" s="96"/>
      <c r="G29" s="96"/>
      <c r="H29" s="96"/>
      <c r="I29" s="96"/>
      <c r="J29" s="96"/>
      <c r="K29" s="341"/>
      <c r="L29" s="96" t="s">
        <v>32</v>
      </c>
      <c r="M29" s="124"/>
      <c r="N29" s="124"/>
      <c r="O29" s="124"/>
      <c r="P29" s="1304"/>
      <c r="Q29" s="1304"/>
      <c r="R29" s="1304"/>
      <c r="S29" s="1304"/>
      <c r="T29" s="1320"/>
    </row>
    <row r="30" spans="1:20" s="101" customFormat="1" x14ac:dyDescent="0.2">
      <c r="A30" s="1329"/>
      <c r="B30" s="570">
        <f t="shared" si="0"/>
        <v>20</v>
      </c>
      <c r="C30" s="1303" t="s">
        <v>48</v>
      </c>
      <c r="D30" s="96"/>
      <c r="E30" s="96"/>
      <c r="F30" s="96"/>
      <c r="G30" s="96"/>
      <c r="H30" s="96"/>
      <c r="I30" s="96"/>
      <c r="J30" s="96"/>
      <c r="K30" s="341"/>
      <c r="L30" s="96" t="s">
        <v>447</v>
      </c>
      <c r="M30" s="124"/>
      <c r="N30" s="124"/>
      <c r="O30" s="124"/>
      <c r="P30" s="1304"/>
      <c r="Q30" s="1304"/>
      <c r="R30" s="1304"/>
      <c r="S30" s="1304"/>
      <c r="T30" s="1320"/>
    </row>
    <row r="31" spans="1:20" x14ac:dyDescent="0.2">
      <c r="A31" s="1328"/>
      <c r="B31" s="570">
        <f t="shared" si="0"/>
        <v>21</v>
      </c>
      <c r="C31" s="1303"/>
      <c r="D31" s="96"/>
      <c r="E31" s="96"/>
      <c r="F31" s="96"/>
      <c r="G31" s="96"/>
      <c r="H31" s="96"/>
      <c r="I31" s="96"/>
      <c r="J31" s="96"/>
      <c r="K31" s="341"/>
      <c r="L31" s="96" t="s">
        <v>444</v>
      </c>
      <c r="M31" s="124"/>
      <c r="N31" s="124"/>
      <c r="O31" s="124"/>
      <c r="P31" s="1304"/>
      <c r="Q31" s="1304"/>
      <c r="R31" s="1304"/>
      <c r="S31" s="1304"/>
      <c r="T31" s="1320"/>
    </row>
    <row r="32" spans="1:20" s="11" customFormat="1" x14ac:dyDescent="0.2">
      <c r="A32" s="1330"/>
      <c r="B32" s="570">
        <f t="shared" si="0"/>
        <v>22</v>
      </c>
      <c r="C32" s="1355" t="s">
        <v>52</v>
      </c>
      <c r="D32" s="1311">
        <f>D13+D14+D16+D18+D20+D23+D24+D25+D26+D27+D29+D30</f>
        <v>5662</v>
      </c>
      <c r="E32" s="1311">
        <f>E13+E14+E16+E18+E20+E23+E24+E25+E26+E27+E29+E30</f>
        <v>402</v>
      </c>
      <c r="F32" s="1311">
        <f>F13+F14+F16+F18+F20+F23+F24+F25+F26+F27+F29+F30</f>
        <v>6064</v>
      </c>
      <c r="G32" s="1311">
        <f>G14+G20+G29</f>
        <v>-2800</v>
      </c>
      <c r="H32" s="1311">
        <f t="shared" ref="H32:K32" si="7">H14+H20+H29</f>
        <v>384</v>
      </c>
      <c r="I32" s="1311">
        <f t="shared" si="7"/>
        <v>2862</v>
      </c>
      <c r="J32" s="1311">
        <f t="shared" si="7"/>
        <v>786</v>
      </c>
      <c r="K32" s="1322">
        <f t="shared" si="7"/>
        <v>3648</v>
      </c>
      <c r="L32" s="96" t="s">
        <v>440</v>
      </c>
      <c r="M32" s="124"/>
      <c r="N32" s="124"/>
      <c r="O32" s="124"/>
      <c r="P32" s="1304"/>
      <c r="Q32" s="1304"/>
      <c r="R32" s="1304"/>
      <c r="S32" s="1304"/>
      <c r="T32" s="1320"/>
    </row>
    <row r="33" spans="1:20" x14ac:dyDescent="0.2">
      <c r="A33" s="1328"/>
      <c r="B33" s="570">
        <f t="shared" si="0"/>
        <v>23</v>
      </c>
      <c r="C33" s="1356" t="s">
        <v>67</v>
      </c>
      <c r="D33" s="1308"/>
      <c r="E33" s="1308"/>
      <c r="F33" s="1308"/>
      <c r="G33" s="1308">
        <f>G16+G23+G24+G25+G26+G27+G30</f>
        <v>0</v>
      </c>
      <c r="H33" s="1308">
        <f t="shared" ref="H33:K33" si="8">H16+H23+H24+H25+H26+H27+H30</f>
        <v>53</v>
      </c>
      <c r="I33" s="1308">
        <f t="shared" si="8"/>
        <v>0</v>
      </c>
      <c r="J33" s="1308">
        <f t="shared" si="8"/>
        <v>53</v>
      </c>
      <c r="K33" s="1323">
        <f t="shared" si="8"/>
        <v>53</v>
      </c>
      <c r="L33" s="1370" t="s">
        <v>68</v>
      </c>
      <c r="M33" s="1372">
        <f>SUM(M27:M32)</f>
        <v>2833</v>
      </c>
      <c r="N33" s="1372">
        <f>SUM(N27:N32)</f>
        <v>6335</v>
      </c>
      <c r="O33" s="1372">
        <f>SUM(O27:O31)</f>
        <v>9168</v>
      </c>
      <c r="P33" s="1304">
        <v>0</v>
      </c>
      <c r="Q33" s="1304">
        <f t="shared" si="6"/>
        <v>0</v>
      </c>
      <c r="R33" s="1304">
        <f t="shared" si="1"/>
        <v>2833</v>
      </c>
      <c r="S33" s="1304">
        <f t="shared" si="2"/>
        <v>6335</v>
      </c>
      <c r="T33" s="1320">
        <f t="shared" si="3"/>
        <v>9168</v>
      </c>
    </row>
    <row r="34" spans="1:20" x14ac:dyDescent="0.2">
      <c r="A34" s="1328"/>
      <c r="B34" s="570">
        <f t="shared" si="0"/>
        <v>24</v>
      </c>
      <c r="C34" s="128" t="s">
        <v>51</v>
      </c>
      <c r="D34" s="1309">
        <f>SUM(D32:D33)</f>
        <v>5662</v>
      </c>
      <c r="E34" s="1309">
        <f>SUM(E32:E33)</f>
        <v>402</v>
      </c>
      <c r="F34" s="1309">
        <f>SUM(F32:F33)</f>
        <v>6064</v>
      </c>
      <c r="G34" s="1309">
        <f>G32+G33</f>
        <v>-2800</v>
      </c>
      <c r="H34" s="1309">
        <f t="shared" ref="H34:K34" si="9">H32+H33</f>
        <v>437</v>
      </c>
      <c r="I34" s="1309">
        <f t="shared" si="9"/>
        <v>2862</v>
      </c>
      <c r="J34" s="1309">
        <f t="shared" si="9"/>
        <v>839</v>
      </c>
      <c r="K34" s="1324">
        <f t="shared" si="9"/>
        <v>3701</v>
      </c>
      <c r="L34" s="126" t="s">
        <v>69</v>
      </c>
      <c r="M34" s="126">
        <f>M24+M33</f>
        <v>133175</v>
      </c>
      <c r="N34" s="126">
        <f>N24+N33</f>
        <v>191699</v>
      </c>
      <c r="O34" s="126">
        <f>O24+O33</f>
        <v>324874</v>
      </c>
      <c r="P34" s="1304">
        <f>P24+P33</f>
        <v>-10150</v>
      </c>
      <c r="Q34" s="1304">
        <f>Q24+Q33</f>
        <v>-11000</v>
      </c>
      <c r="R34" s="1304">
        <f t="shared" si="1"/>
        <v>123025</v>
      </c>
      <c r="S34" s="1304">
        <f t="shared" si="2"/>
        <v>180699</v>
      </c>
      <c r="T34" s="1320">
        <f t="shared" si="3"/>
        <v>303724</v>
      </c>
    </row>
    <row r="35" spans="1:20" x14ac:dyDescent="0.2">
      <c r="A35" s="1328"/>
      <c r="B35" s="570">
        <f t="shared" si="0"/>
        <v>25</v>
      </c>
      <c r="C35" s="1303"/>
      <c r="D35" s="124"/>
      <c r="E35" s="124"/>
      <c r="F35" s="124"/>
      <c r="G35" s="124"/>
      <c r="H35" s="124"/>
      <c r="I35" s="124"/>
      <c r="J35" s="124"/>
      <c r="K35" s="1374"/>
      <c r="L35" s="124"/>
      <c r="M35" s="124"/>
      <c r="N35" s="124"/>
      <c r="O35" s="124"/>
      <c r="P35" s="1304"/>
      <c r="Q35" s="1304"/>
      <c r="R35" s="1304"/>
      <c r="S35" s="210"/>
      <c r="T35" s="1328"/>
    </row>
    <row r="36" spans="1:20" x14ac:dyDescent="0.2">
      <c r="A36" s="1328"/>
      <c r="B36" s="570">
        <f t="shared" si="0"/>
        <v>26</v>
      </c>
      <c r="C36" s="1303"/>
      <c r="D36" s="124"/>
      <c r="E36" s="124"/>
      <c r="F36" s="124"/>
      <c r="G36" s="124"/>
      <c r="H36" s="124"/>
      <c r="I36" s="124"/>
      <c r="J36" s="124"/>
      <c r="K36" s="1374"/>
      <c r="L36" s="1354"/>
      <c r="M36" s="1354"/>
      <c r="N36" s="1354"/>
      <c r="O36" s="1354"/>
      <c r="P36" s="1304"/>
      <c r="Q36" s="1304"/>
      <c r="R36" s="1304"/>
      <c r="S36" s="210"/>
      <c r="T36" s="1328"/>
    </row>
    <row r="37" spans="1:20" s="11" customFormat="1" x14ac:dyDescent="0.2">
      <c r="A37" s="1330"/>
      <c r="B37" s="570">
        <f t="shared" si="0"/>
        <v>27</v>
      </c>
      <c r="C37" s="1303"/>
      <c r="D37" s="124"/>
      <c r="E37" s="124"/>
      <c r="F37" s="124"/>
      <c r="G37" s="124"/>
      <c r="H37" s="124"/>
      <c r="I37" s="124"/>
      <c r="J37" s="124"/>
      <c r="K37" s="1374"/>
      <c r="L37" s="124"/>
      <c r="M37" s="124"/>
      <c r="N37" s="124"/>
      <c r="O37" s="124"/>
      <c r="P37" s="1309"/>
      <c r="Q37" s="1309"/>
      <c r="R37" s="1304"/>
      <c r="S37" s="598"/>
      <c r="T37" s="1330"/>
    </row>
    <row r="38" spans="1:20" s="11" customFormat="1" x14ac:dyDescent="0.2">
      <c r="A38" s="1330"/>
      <c r="B38" s="570">
        <f t="shared" si="0"/>
        <v>28</v>
      </c>
      <c r="C38" s="1302" t="s">
        <v>53</v>
      </c>
      <c r="D38" s="1302"/>
      <c r="E38" s="1302"/>
      <c r="F38" s="1302"/>
      <c r="G38" s="1302"/>
      <c r="H38" s="1302"/>
      <c r="I38" s="1302"/>
      <c r="J38" s="1302"/>
      <c r="K38" s="375"/>
      <c r="L38" s="1302" t="s">
        <v>33</v>
      </c>
      <c r="M38" s="126"/>
      <c r="N38" s="126"/>
      <c r="O38" s="126"/>
      <c r="P38" s="1309"/>
      <c r="Q38" s="1309"/>
      <c r="R38" s="598"/>
      <c r="S38" s="598"/>
      <c r="T38" s="1330"/>
    </row>
    <row r="39" spans="1:20" s="11" customFormat="1" x14ac:dyDescent="0.2">
      <c r="A39" s="1330"/>
      <c r="B39" s="570">
        <f t="shared" si="0"/>
        <v>29</v>
      </c>
      <c r="C39" s="1357" t="s">
        <v>682</v>
      </c>
      <c r="D39" s="1302"/>
      <c r="E39" s="1302"/>
      <c r="F39" s="1302"/>
      <c r="G39" s="1302"/>
      <c r="H39" s="1302"/>
      <c r="I39" s="1302"/>
      <c r="J39" s="1302"/>
      <c r="K39" s="375"/>
      <c r="L39" s="1357" t="s">
        <v>4</v>
      </c>
      <c r="M39" s="126"/>
      <c r="N39" s="128"/>
      <c r="O39" s="128"/>
      <c r="P39" s="1309"/>
      <c r="Q39" s="1309"/>
      <c r="R39" s="598"/>
      <c r="S39" s="598"/>
      <c r="T39" s="1330"/>
    </row>
    <row r="40" spans="1:20" s="11" customFormat="1" x14ac:dyDescent="0.2">
      <c r="A40" s="1330"/>
      <c r="B40" s="570">
        <f t="shared" si="0"/>
        <v>30</v>
      </c>
      <c r="C40" s="1303" t="s">
        <v>959</v>
      </c>
      <c r="D40" s="1302"/>
      <c r="E40" s="1302"/>
      <c r="F40" s="1302"/>
      <c r="G40" s="1302"/>
      <c r="H40" s="1302"/>
      <c r="I40" s="1302"/>
      <c r="J40" s="1302"/>
      <c r="K40" s="375"/>
      <c r="L40" s="123" t="s">
        <v>3</v>
      </c>
      <c r="M40" s="126"/>
      <c r="N40" s="126"/>
      <c r="O40" s="126"/>
      <c r="P40" s="1309"/>
      <c r="Q40" s="1309"/>
      <c r="R40" s="598"/>
      <c r="S40" s="598"/>
      <c r="T40" s="1330"/>
    </row>
    <row r="41" spans="1:20" x14ac:dyDescent="0.2">
      <c r="A41" s="1328"/>
      <c r="B41" s="570">
        <f t="shared" si="0"/>
        <v>31</v>
      </c>
      <c r="C41" s="96" t="s">
        <v>684</v>
      </c>
      <c r="D41" s="1373"/>
      <c r="E41" s="1373"/>
      <c r="F41" s="1373"/>
      <c r="G41" s="1373"/>
      <c r="H41" s="1373"/>
      <c r="I41" s="1373"/>
      <c r="J41" s="1373"/>
      <c r="K41" s="1375"/>
      <c r="L41" s="96" t="s">
        <v>5</v>
      </c>
      <c r="M41" s="126"/>
      <c r="N41" s="126"/>
      <c r="O41" s="126"/>
      <c r="P41" s="1304"/>
      <c r="Q41" s="1304"/>
      <c r="R41" s="210"/>
      <c r="S41" s="210"/>
      <c r="T41" s="1328"/>
    </row>
    <row r="42" spans="1:20" x14ac:dyDescent="0.2">
      <c r="A42" s="1328"/>
      <c r="B42" s="570">
        <f t="shared" si="0"/>
        <v>32</v>
      </c>
      <c r="C42" s="96" t="s">
        <v>207</v>
      </c>
      <c r="D42" s="96"/>
      <c r="E42" s="96"/>
      <c r="F42" s="96"/>
      <c r="G42" s="96"/>
      <c r="H42" s="96"/>
      <c r="I42" s="96"/>
      <c r="J42" s="96"/>
      <c r="K42" s="341"/>
      <c r="L42" s="96" t="s">
        <v>6</v>
      </c>
      <c r="M42" s="126"/>
      <c r="N42" s="126"/>
      <c r="O42" s="126"/>
      <c r="P42" s="1304"/>
      <c r="Q42" s="1304"/>
      <c r="R42" s="210"/>
      <c r="S42" s="210"/>
      <c r="T42" s="1328"/>
    </row>
    <row r="43" spans="1:20" x14ac:dyDescent="0.2">
      <c r="A43" s="1328"/>
      <c r="B43" s="570">
        <f t="shared" si="0"/>
        <v>33</v>
      </c>
      <c r="C43" s="1362" t="s">
        <v>208</v>
      </c>
      <c r="D43" s="96">
        <v>81</v>
      </c>
      <c r="E43" s="96">
        <v>13966</v>
      </c>
      <c r="F43" s="96">
        <f>D43+E43</f>
        <v>14047</v>
      </c>
      <c r="G43" s="96"/>
      <c r="H43" s="96"/>
      <c r="I43" s="96">
        <f>D43+G43</f>
        <v>81</v>
      </c>
      <c r="J43" s="96">
        <f>E43+H43</f>
        <v>13966</v>
      </c>
      <c r="K43" s="341">
        <f>I43+F48</f>
        <v>295676</v>
      </c>
      <c r="L43" s="96" t="s">
        <v>7</v>
      </c>
      <c r="M43" s="126"/>
      <c r="N43" s="126"/>
      <c r="O43" s="126"/>
      <c r="P43" s="1304"/>
      <c r="Q43" s="1304"/>
      <c r="R43" s="210"/>
      <c r="S43" s="210"/>
      <c r="T43" s="1328"/>
    </row>
    <row r="44" spans="1:20" x14ac:dyDescent="0.2">
      <c r="A44" s="1328"/>
      <c r="B44" s="570">
        <f t="shared" si="0"/>
        <v>34</v>
      </c>
      <c r="C44" s="1362" t="s">
        <v>958</v>
      </c>
      <c r="D44" s="96"/>
      <c r="E44" s="96"/>
      <c r="F44" s="96"/>
      <c r="G44" s="96"/>
      <c r="H44" s="96"/>
      <c r="I44" s="96"/>
      <c r="J44" s="96"/>
      <c r="K44" s="341"/>
      <c r="L44" s="96"/>
      <c r="M44" s="126"/>
      <c r="N44" s="126"/>
      <c r="O44" s="126"/>
      <c r="P44" s="1304"/>
      <c r="Q44" s="1304"/>
      <c r="R44" s="210"/>
      <c r="S44" s="210"/>
      <c r="T44" s="1328"/>
    </row>
    <row r="45" spans="1:20" x14ac:dyDescent="0.2">
      <c r="A45" s="1328"/>
      <c r="B45" s="570">
        <f t="shared" si="0"/>
        <v>35</v>
      </c>
      <c r="C45" s="96" t="s">
        <v>685</v>
      </c>
      <c r="D45" s="96"/>
      <c r="E45" s="96"/>
      <c r="F45" s="96"/>
      <c r="G45" s="96"/>
      <c r="H45" s="96"/>
      <c r="I45" s="96"/>
      <c r="J45" s="96"/>
      <c r="K45" s="341"/>
      <c r="L45" s="96" t="s">
        <v>8</v>
      </c>
      <c r="M45" s="126"/>
      <c r="N45" s="126"/>
      <c r="O45" s="124"/>
      <c r="P45" s="1304"/>
      <c r="Q45" s="1304"/>
      <c r="R45" s="210"/>
      <c r="S45" s="210"/>
      <c r="T45" s="1328"/>
    </row>
    <row r="46" spans="1:20" x14ac:dyDescent="0.2">
      <c r="A46" s="1328"/>
      <c r="B46" s="570">
        <f t="shared" si="0"/>
        <v>36</v>
      </c>
      <c r="C46" s="96" t="s">
        <v>686</v>
      </c>
      <c r="D46" s="1302"/>
      <c r="E46" s="1302"/>
      <c r="F46" s="1302"/>
      <c r="G46" s="1302"/>
      <c r="H46" s="1302"/>
      <c r="I46" s="1302"/>
      <c r="J46" s="1302"/>
      <c r="K46" s="375"/>
      <c r="L46" s="96" t="s">
        <v>9</v>
      </c>
      <c r="M46" s="126"/>
      <c r="N46" s="126"/>
      <c r="O46" s="124"/>
      <c r="P46" s="1304"/>
      <c r="Q46" s="1304"/>
      <c r="R46" s="210"/>
      <c r="S46" s="210"/>
      <c r="T46" s="1328"/>
    </row>
    <row r="47" spans="1:20" x14ac:dyDescent="0.2">
      <c r="A47" s="1328"/>
      <c r="B47" s="570">
        <f t="shared" si="0"/>
        <v>37</v>
      </c>
      <c r="C47" s="96" t="s">
        <v>211</v>
      </c>
      <c r="D47" s="96"/>
      <c r="E47" s="96"/>
      <c r="F47" s="96"/>
      <c r="G47" s="96"/>
      <c r="H47" s="96"/>
      <c r="I47" s="96"/>
      <c r="J47" s="96"/>
      <c r="K47" s="341"/>
      <c r="L47" s="96" t="s">
        <v>10</v>
      </c>
      <c r="M47" s="124"/>
      <c r="N47" s="124"/>
      <c r="O47" s="124"/>
      <c r="P47" s="1304"/>
      <c r="Q47" s="1304"/>
      <c r="R47" s="210"/>
      <c r="S47" s="210"/>
      <c r="T47" s="1328"/>
    </row>
    <row r="48" spans="1:20" x14ac:dyDescent="0.2">
      <c r="A48" s="1328"/>
      <c r="B48" s="570">
        <f t="shared" si="0"/>
        <v>38</v>
      </c>
      <c r="C48" s="1362" t="s">
        <v>212</v>
      </c>
      <c r="D48" s="204">
        <f>M24-(D34+D43)</f>
        <v>124599</v>
      </c>
      <c r="E48" s="204">
        <f>N24-(E34+E43)</f>
        <v>170996</v>
      </c>
      <c r="F48" s="204">
        <f>O24-(F34+F43)</f>
        <v>295595</v>
      </c>
      <c r="G48" s="204">
        <f>P24-(G32+G43)</f>
        <v>-7350</v>
      </c>
      <c r="H48" s="204">
        <f t="shared" ref="H48:J48" si="10">Q24-(H32+H43)</f>
        <v>-11384</v>
      </c>
      <c r="I48" s="204">
        <f t="shared" si="10"/>
        <v>117249</v>
      </c>
      <c r="J48" s="204">
        <f t="shared" si="10"/>
        <v>159612</v>
      </c>
      <c r="K48" s="353">
        <f>I48+J48</f>
        <v>276861</v>
      </c>
      <c r="L48" s="96" t="s">
        <v>11</v>
      </c>
      <c r="M48" s="124"/>
      <c r="N48" s="124"/>
      <c r="O48" s="124"/>
      <c r="P48" s="1304"/>
      <c r="Q48" s="1304"/>
      <c r="R48" s="210"/>
      <c r="S48" s="210"/>
      <c r="T48" s="1328"/>
    </row>
    <row r="49" spans="1:20" x14ac:dyDescent="0.2">
      <c r="A49" s="1328"/>
      <c r="B49" s="570">
        <f t="shared" si="0"/>
        <v>39</v>
      </c>
      <c r="C49" s="1362" t="s">
        <v>213</v>
      </c>
      <c r="D49" s="96">
        <f>M33-D33</f>
        <v>2833</v>
      </c>
      <c r="E49" s="96">
        <f>N33-E33</f>
        <v>6335</v>
      </c>
      <c r="F49" s="96">
        <f>O33-F33</f>
        <v>9168</v>
      </c>
      <c r="G49" s="96">
        <f t="shared" ref="G49:J49" si="11">P33-G33</f>
        <v>0</v>
      </c>
      <c r="H49" s="96">
        <f t="shared" si="11"/>
        <v>-53</v>
      </c>
      <c r="I49" s="96">
        <f t="shared" si="11"/>
        <v>2833</v>
      </c>
      <c r="J49" s="96">
        <f t="shared" si="11"/>
        <v>6282</v>
      </c>
      <c r="K49" s="353">
        <f t="shared" ref="K49:K53" si="12">I49+J49</f>
        <v>9115</v>
      </c>
      <c r="L49" s="96" t="s">
        <v>12</v>
      </c>
      <c r="M49" s="124"/>
      <c r="N49" s="124"/>
      <c r="O49" s="124"/>
      <c r="P49" s="1304"/>
      <c r="Q49" s="1304"/>
      <c r="R49" s="210"/>
      <c r="S49" s="210"/>
      <c r="T49" s="1328"/>
    </row>
    <row r="50" spans="1:20" x14ac:dyDescent="0.2">
      <c r="A50" s="1328"/>
      <c r="B50" s="570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53"/>
      <c r="L50" s="96" t="s">
        <v>13</v>
      </c>
      <c r="M50" s="124"/>
      <c r="N50" s="124"/>
      <c r="O50" s="124"/>
      <c r="P50" s="1304"/>
      <c r="Q50" s="1304"/>
      <c r="R50" s="210"/>
      <c r="S50" s="210"/>
      <c r="T50" s="1328"/>
    </row>
    <row r="51" spans="1:20" x14ac:dyDescent="0.2">
      <c r="A51" s="1328"/>
      <c r="B51" s="570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53"/>
      <c r="L51" s="96" t="s">
        <v>14</v>
      </c>
      <c r="M51" s="124"/>
      <c r="N51" s="124"/>
      <c r="O51" s="124"/>
      <c r="P51" s="1304"/>
      <c r="Q51" s="1304"/>
      <c r="R51" s="210"/>
      <c r="S51" s="210"/>
      <c r="T51" s="1328"/>
    </row>
    <row r="52" spans="1:20" x14ac:dyDescent="0.2">
      <c r="A52" s="1328"/>
      <c r="B52" s="570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53"/>
      <c r="L52" s="96" t="s">
        <v>15</v>
      </c>
      <c r="M52" s="124"/>
      <c r="N52" s="124"/>
      <c r="O52" s="124"/>
      <c r="P52" s="1304"/>
      <c r="Q52" s="1304"/>
      <c r="R52" s="210"/>
      <c r="S52" s="210"/>
      <c r="T52" s="1328"/>
    </row>
    <row r="53" spans="1:20" ht="12" thickBot="1" x14ac:dyDescent="0.25">
      <c r="A53" s="1328"/>
      <c r="B53" s="570">
        <f t="shared" si="0"/>
        <v>43</v>
      </c>
      <c r="C53" s="128" t="s">
        <v>448</v>
      </c>
      <c r="D53" s="1302">
        <f>SUM(D39:D51)</f>
        <v>127513</v>
      </c>
      <c r="E53" s="1302">
        <f>SUM(E39:E51)</f>
        <v>191297</v>
      </c>
      <c r="F53" s="1302">
        <f>SUM(F39:F51)</f>
        <v>318810</v>
      </c>
      <c r="G53" s="1302">
        <f>SUM(G43:G52)</f>
        <v>-7350</v>
      </c>
      <c r="H53" s="1302">
        <f t="shared" ref="H53:J53" si="13">SUM(H43:H52)</f>
        <v>-11437</v>
      </c>
      <c r="I53" s="1302">
        <f t="shared" si="13"/>
        <v>120163</v>
      </c>
      <c r="J53" s="1302">
        <f t="shared" si="13"/>
        <v>179860</v>
      </c>
      <c r="K53" s="1391">
        <f t="shared" si="12"/>
        <v>300023</v>
      </c>
      <c r="L53" s="1302" t="s">
        <v>441</v>
      </c>
      <c r="M53" s="126">
        <f>SUM(M39:M52)</f>
        <v>0</v>
      </c>
      <c r="N53" s="126">
        <f>SUM(N39:N52)</f>
        <v>0</v>
      </c>
      <c r="O53" s="126">
        <f>SUM(O39:O52)</f>
        <v>0</v>
      </c>
      <c r="P53" s="1304">
        <v>0</v>
      </c>
      <c r="Q53" s="1304">
        <v>0</v>
      </c>
      <c r="R53" s="1304">
        <f>M53+P53</f>
        <v>0</v>
      </c>
      <c r="S53" s="1304">
        <f>N53+Q53</f>
        <v>0</v>
      </c>
      <c r="T53" s="1320">
        <f>R53+S53</f>
        <v>0</v>
      </c>
    </row>
    <row r="54" spans="1:20" ht="12" thickBot="1" x14ac:dyDescent="0.25">
      <c r="B54" s="697">
        <f t="shared" si="0"/>
        <v>44</v>
      </c>
      <c r="C54" s="696" t="s">
        <v>443</v>
      </c>
      <c r="D54" s="689">
        <f>D34+D53</f>
        <v>133175</v>
      </c>
      <c r="E54" s="689">
        <f>E34+E53</f>
        <v>191699</v>
      </c>
      <c r="F54" s="689">
        <f>F34+F53</f>
        <v>324874</v>
      </c>
      <c r="G54" s="689">
        <f>G34+G53</f>
        <v>-10150</v>
      </c>
      <c r="H54" s="689">
        <f t="shared" ref="H54:K54" si="14">H34+H53</f>
        <v>-11000</v>
      </c>
      <c r="I54" s="689">
        <f t="shared" si="14"/>
        <v>123025</v>
      </c>
      <c r="J54" s="689">
        <f t="shared" si="14"/>
        <v>180699</v>
      </c>
      <c r="K54" s="689">
        <f t="shared" si="14"/>
        <v>303724</v>
      </c>
      <c r="L54" s="696" t="s">
        <v>442</v>
      </c>
      <c r="M54" s="689">
        <f>M34+M53</f>
        <v>133175</v>
      </c>
      <c r="N54" s="689">
        <f>N34+N53</f>
        <v>191699</v>
      </c>
      <c r="O54" s="689">
        <f>O34+O53</f>
        <v>324874</v>
      </c>
      <c r="P54" s="695">
        <f>P34+P53</f>
        <v>-10150</v>
      </c>
      <c r="Q54" s="695">
        <f t="shared" ref="Q54:T54" si="15">Q34+Q53</f>
        <v>-11000</v>
      </c>
      <c r="R54" s="695">
        <f t="shared" si="15"/>
        <v>123025</v>
      </c>
      <c r="S54" s="695">
        <f t="shared" si="15"/>
        <v>180699</v>
      </c>
      <c r="T54" s="695">
        <f t="shared" si="15"/>
        <v>303724</v>
      </c>
    </row>
    <row r="55" spans="1:20" x14ac:dyDescent="0.2">
      <c r="C55" s="130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</row>
  </sheetData>
  <sheetProtection selectLockedCells="1" selectUnlockedCells="1"/>
  <mergeCells count="16">
    <mergeCell ref="C1:T1"/>
    <mergeCell ref="B4:T4"/>
    <mergeCell ref="B5:T5"/>
    <mergeCell ref="C6:T6"/>
    <mergeCell ref="B7:T7"/>
    <mergeCell ref="P9:Q9"/>
    <mergeCell ref="R9:T9"/>
    <mergeCell ref="M8:T8"/>
    <mergeCell ref="B8:B10"/>
    <mergeCell ref="C8:C9"/>
    <mergeCell ref="D9:F9"/>
    <mergeCell ref="M9:O9"/>
    <mergeCell ref="L8:L9"/>
    <mergeCell ref="G9:H9"/>
    <mergeCell ref="I9:K9"/>
    <mergeCell ref="D8:K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0" firstPageNumber="0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44" customWidth="1"/>
    <col min="2" max="2" width="33" style="93" customWidth="1"/>
    <col min="3" max="3" width="10.7109375" style="95" customWidth="1"/>
    <col min="4" max="4" width="12.28515625" style="95" customWidth="1"/>
    <col min="5" max="5" width="9.140625" style="95"/>
    <col min="6" max="6" width="11.28515625" style="95" customWidth="1"/>
    <col min="7" max="7" width="11.140625" style="95" customWidth="1"/>
    <col min="8" max="10" width="10" style="95" customWidth="1"/>
    <col min="11" max="11" width="11.28515625" style="95" customWidth="1"/>
    <col min="12" max="12" width="7.28515625" style="214" hidden="1" customWidth="1"/>
    <col min="13" max="13" width="8.5703125" style="214" hidden="1" customWidth="1"/>
    <col min="14" max="14" width="7.5703125" style="214" hidden="1" customWidth="1"/>
    <col min="15" max="15" width="8.28515625" style="214" hidden="1" customWidth="1"/>
    <col min="16" max="16" width="5.7109375" style="214" hidden="1" customWidth="1"/>
    <col min="17" max="17" width="8" style="214" hidden="1" customWidth="1"/>
    <col min="18" max="18" width="6.140625" style="214" hidden="1" customWidth="1"/>
    <col min="19" max="19" width="4.42578125" style="411" customWidth="1"/>
    <col min="20" max="16384" width="9.140625" style="76"/>
  </cols>
  <sheetData>
    <row r="1" spans="1:19" ht="17.25" customHeight="1" x14ac:dyDescent="0.2">
      <c r="B1" s="1559" t="s">
        <v>292</v>
      </c>
      <c r="C1" s="1559"/>
      <c r="D1" s="1559"/>
      <c r="E1" s="1559"/>
      <c r="F1" s="1559"/>
      <c r="G1" s="1559"/>
      <c r="H1" s="1559"/>
      <c r="I1" s="1559"/>
      <c r="J1" s="1559"/>
      <c r="K1" s="1567"/>
      <c r="L1" s="1456"/>
      <c r="M1" s="1456"/>
      <c r="N1" s="1456"/>
      <c r="O1" s="1456"/>
      <c r="P1" s="1456"/>
      <c r="Q1" s="1456"/>
      <c r="R1" s="1456"/>
    </row>
    <row r="2" spans="1:19" ht="13.5" customHeight="1" x14ac:dyDescent="0.2">
      <c r="A2" s="1569" t="s">
        <v>86</v>
      </c>
      <c r="B2" s="1569"/>
      <c r="C2" s="1569"/>
      <c r="D2" s="1569"/>
      <c r="E2" s="1569"/>
      <c r="F2" s="1569"/>
      <c r="G2" s="1569"/>
      <c r="H2" s="1569"/>
      <c r="I2" s="1569"/>
      <c r="J2" s="1569"/>
      <c r="K2" s="1569"/>
      <c r="L2" s="76"/>
      <c r="M2" s="76"/>
      <c r="N2" s="76"/>
      <c r="O2" s="76"/>
      <c r="P2" s="76"/>
      <c r="Q2" s="76"/>
      <c r="R2" s="76"/>
      <c r="S2" s="400"/>
    </row>
    <row r="3" spans="1:19" s="78" customFormat="1" ht="12" customHeight="1" x14ac:dyDescent="0.2">
      <c r="A3" s="1406" t="s">
        <v>291</v>
      </c>
      <c r="B3" s="1568"/>
      <c r="C3" s="1568"/>
      <c r="D3" s="1568"/>
      <c r="E3" s="1568"/>
      <c r="F3" s="1568"/>
      <c r="G3" s="1568"/>
      <c r="H3" s="1568"/>
      <c r="I3" s="1568"/>
      <c r="J3" s="1568"/>
      <c r="K3" s="1568"/>
      <c r="L3" s="1456"/>
      <c r="M3" s="1456"/>
      <c r="N3" s="1456"/>
      <c r="O3" s="1456"/>
      <c r="P3" s="1456"/>
      <c r="Q3" s="1456"/>
      <c r="R3" s="1456"/>
      <c r="S3" s="412"/>
    </row>
    <row r="4" spans="1:19" s="78" customFormat="1" ht="23.25" customHeight="1" thickBot="1" x14ac:dyDescent="0.25">
      <c r="A4" s="145"/>
      <c r="B4" s="146"/>
      <c r="C4" s="147"/>
      <c r="D4" s="147"/>
      <c r="E4" s="147"/>
      <c r="F4" s="147"/>
      <c r="G4" s="1570" t="s">
        <v>302</v>
      </c>
      <c r="H4" s="1570"/>
      <c r="I4" s="1570"/>
      <c r="J4" s="1570"/>
      <c r="K4" s="1570"/>
      <c r="L4" s="246"/>
      <c r="M4" s="246"/>
      <c r="N4" s="246"/>
      <c r="O4" s="246"/>
      <c r="P4" s="246"/>
      <c r="Q4" s="246"/>
      <c r="R4" s="246"/>
      <c r="S4" s="412"/>
    </row>
    <row r="5" spans="1:19" s="94" customFormat="1" ht="17.25" customHeight="1" thickBot="1" x14ac:dyDescent="0.25">
      <c r="A5" s="1574" t="s">
        <v>469</v>
      </c>
      <c r="B5" s="1572" t="s">
        <v>528</v>
      </c>
      <c r="C5" s="1554" t="s">
        <v>57</v>
      </c>
      <c r="D5" s="1554"/>
      <c r="E5" s="1554" t="s">
        <v>58</v>
      </c>
      <c r="F5" s="1554"/>
      <c r="G5" s="1554" t="s">
        <v>59</v>
      </c>
      <c r="H5" s="1554"/>
      <c r="I5" s="1575" t="s">
        <v>60</v>
      </c>
      <c r="J5" s="1558"/>
      <c r="K5" s="148" t="s">
        <v>470</v>
      </c>
      <c r="L5" s="213"/>
      <c r="S5" s="400"/>
    </row>
    <row r="6" spans="1:19" s="94" customFormat="1" ht="17.25" customHeight="1" thickBot="1" x14ac:dyDescent="0.25">
      <c r="A6" s="1574"/>
      <c r="B6" s="1572"/>
      <c r="C6" s="1423" t="s">
        <v>290</v>
      </c>
      <c r="D6" s="1563"/>
      <c r="E6" s="1563"/>
      <c r="F6" s="1563"/>
      <c r="G6" s="1563"/>
      <c r="H6" s="1563"/>
      <c r="I6" s="1563"/>
      <c r="J6" s="1563"/>
      <c r="K6" s="1573"/>
      <c r="L6" s="213"/>
      <c r="S6" s="400"/>
    </row>
    <row r="7" spans="1:19" ht="40.15" customHeight="1" thickBot="1" x14ac:dyDescent="0.25">
      <c r="A7" s="1574"/>
      <c r="B7" s="1572"/>
      <c r="C7" s="1542" t="s">
        <v>452</v>
      </c>
      <c r="D7" s="1542"/>
      <c r="E7" s="1542" t="s">
        <v>453</v>
      </c>
      <c r="F7" s="1542"/>
      <c r="G7" s="1542" t="s">
        <v>22</v>
      </c>
      <c r="H7" s="1542"/>
      <c r="I7" s="1543" t="s">
        <v>253</v>
      </c>
      <c r="J7" s="1544"/>
      <c r="K7" s="1571" t="s">
        <v>529</v>
      </c>
      <c r="M7" s="76"/>
      <c r="N7" s="76"/>
      <c r="O7" s="76"/>
      <c r="P7" s="76"/>
      <c r="Q7" s="76"/>
      <c r="R7" s="76"/>
      <c r="S7" s="400"/>
    </row>
    <row r="8" spans="1:19" ht="50.25" customHeight="1" thickBot="1" x14ac:dyDescent="0.25">
      <c r="A8" s="1574"/>
      <c r="B8" s="1572"/>
      <c r="C8" s="1542"/>
      <c r="D8" s="1542"/>
      <c r="E8" s="1542"/>
      <c r="F8" s="1542"/>
      <c r="G8" s="1542"/>
      <c r="H8" s="1542"/>
      <c r="I8" s="1545"/>
      <c r="J8" s="1546"/>
      <c r="K8" s="1571"/>
      <c r="M8" s="76"/>
      <c r="N8" s="76"/>
      <c r="O8" s="76"/>
      <c r="P8" s="76"/>
      <c r="Q8" s="76"/>
      <c r="R8" s="76"/>
      <c r="S8" s="400"/>
    </row>
    <row r="9" spans="1:19" ht="33" customHeight="1" thickBot="1" x14ac:dyDescent="0.25">
      <c r="A9" s="1574"/>
      <c r="B9" s="1572"/>
      <c r="C9" s="149" t="s">
        <v>62</v>
      </c>
      <c r="D9" s="150" t="s">
        <v>63</v>
      </c>
      <c r="E9" s="149" t="s">
        <v>62</v>
      </c>
      <c r="F9" s="149" t="s">
        <v>63</v>
      </c>
      <c r="G9" s="149" t="s">
        <v>62</v>
      </c>
      <c r="H9" s="149" t="s">
        <v>63</v>
      </c>
      <c r="I9" s="149" t="s">
        <v>62</v>
      </c>
      <c r="J9" s="149" t="s">
        <v>63</v>
      </c>
      <c r="K9" s="1571"/>
      <c r="M9" s="76"/>
      <c r="N9" s="76"/>
      <c r="O9" s="76"/>
      <c r="P9" s="76"/>
      <c r="Q9" s="76"/>
      <c r="R9" s="76"/>
      <c r="S9" s="400"/>
    </row>
    <row r="10" spans="1:19" ht="17.25" customHeight="1" x14ac:dyDescent="0.2">
      <c r="A10" s="151" t="s">
        <v>479</v>
      </c>
      <c r="B10" s="152" t="s">
        <v>243</v>
      </c>
      <c r="C10" s="153">
        <v>1600</v>
      </c>
      <c r="E10" s="154"/>
      <c r="F10" s="155"/>
      <c r="G10" s="154"/>
      <c r="H10" s="373"/>
      <c r="I10" s="155"/>
      <c r="J10" s="155"/>
      <c r="K10" s="156">
        <f t="shared" ref="K10:K39" si="0">SUM(C10:J10)</f>
        <v>1600</v>
      </c>
      <c r="M10" s="76"/>
      <c r="N10" s="76"/>
      <c r="O10" s="76"/>
      <c r="P10" s="76"/>
      <c r="Q10" s="76"/>
      <c r="R10" s="76"/>
      <c r="S10" s="400"/>
    </row>
    <row r="11" spans="1:19" s="77" customFormat="1" ht="17.25" customHeight="1" x14ac:dyDescent="0.2">
      <c r="A11" s="151" t="s">
        <v>487</v>
      </c>
      <c r="B11" s="369" t="s">
        <v>244</v>
      </c>
      <c r="C11" s="370">
        <v>33533</v>
      </c>
      <c r="D11" s="371"/>
      <c r="E11" s="421">
        <f>'közhatalmi bevételek'!D25</f>
        <v>9000</v>
      </c>
      <c r="F11" s="157"/>
      <c r="G11" s="158"/>
      <c r="H11" s="374"/>
      <c r="I11" s="157"/>
      <c r="J11" s="157"/>
      <c r="K11" s="156">
        <f t="shared" si="0"/>
        <v>42533</v>
      </c>
      <c r="L11" s="204"/>
      <c r="S11" s="413"/>
    </row>
    <row r="12" spans="1:19" ht="17.25" customHeight="1" x14ac:dyDescent="0.2">
      <c r="A12" s="151" t="s">
        <v>488</v>
      </c>
      <c r="B12" s="123" t="s">
        <v>245</v>
      </c>
      <c r="C12" s="106"/>
      <c r="D12" s="96">
        <v>53</v>
      </c>
      <c r="E12" s="97"/>
      <c r="F12" s="96"/>
      <c r="G12" s="97"/>
      <c r="H12" s="341"/>
      <c r="I12" s="96"/>
      <c r="J12" s="96"/>
      <c r="K12" s="156">
        <f t="shared" si="0"/>
        <v>53</v>
      </c>
      <c r="M12" s="76"/>
      <c r="N12" s="76"/>
      <c r="O12" s="76"/>
      <c r="P12" s="76"/>
      <c r="Q12" s="76"/>
      <c r="R12" s="76"/>
      <c r="S12" s="400"/>
    </row>
    <row r="13" spans="1:19" ht="17.25" customHeight="1" x14ac:dyDescent="0.2">
      <c r="A13" s="151" t="s">
        <v>489</v>
      </c>
      <c r="B13" s="123" t="s">
        <v>246</v>
      </c>
      <c r="C13" s="106"/>
      <c r="D13" s="96">
        <v>391</v>
      </c>
      <c r="E13" s="97"/>
      <c r="F13" s="96"/>
      <c r="G13" s="97"/>
      <c r="H13" s="375"/>
      <c r="I13" s="159"/>
      <c r="J13" s="159"/>
      <c r="K13" s="156">
        <f t="shared" si="0"/>
        <v>391</v>
      </c>
      <c r="M13" s="76"/>
      <c r="N13" s="76"/>
      <c r="O13" s="76"/>
      <c r="P13" s="76"/>
      <c r="Q13" s="76"/>
      <c r="R13" s="76"/>
      <c r="S13" s="400"/>
    </row>
    <row r="14" spans="1:19" ht="17.25" customHeight="1" x14ac:dyDescent="0.2">
      <c r="A14" s="151" t="s">
        <v>490</v>
      </c>
      <c r="B14" s="123" t="s">
        <v>247</v>
      </c>
      <c r="C14" s="106"/>
      <c r="D14" s="96"/>
      <c r="E14" s="97"/>
      <c r="F14" s="96"/>
      <c r="G14" s="97"/>
      <c r="H14" s="375"/>
      <c r="I14" s="159"/>
      <c r="J14" s="159"/>
      <c r="K14" s="156">
        <f t="shared" si="0"/>
        <v>0</v>
      </c>
      <c r="M14" s="76"/>
      <c r="N14" s="76"/>
      <c r="O14" s="76"/>
      <c r="P14" s="76"/>
      <c r="Q14" s="76"/>
      <c r="R14" s="76"/>
      <c r="S14" s="400"/>
    </row>
    <row r="15" spans="1:19" ht="17.25" customHeight="1" x14ac:dyDescent="0.2">
      <c r="A15" s="151" t="s">
        <v>491</v>
      </c>
      <c r="B15" s="123" t="s">
        <v>248</v>
      </c>
      <c r="C15" s="106"/>
      <c r="D15" s="96">
        <v>20031</v>
      </c>
      <c r="E15" s="97"/>
      <c r="F15" s="96"/>
      <c r="G15" s="97"/>
      <c r="H15" s="375"/>
      <c r="I15" s="159"/>
      <c r="J15" s="159"/>
      <c r="K15" s="156">
        <f t="shared" si="0"/>
        <v>20031</v>
      </c>
      <c r="M15" s="76"/>
      <c r="N15" s="76"/>
      <c r="O15" s="76"/>
      <c r="P15" s="76"/>
      <c r="Q15" s="76"/>
      <c r="R15" s="76"/>
      <c r="S15" s="400"/>
    </row>
    <row r="16" spans="1:19" ht="17.25" customHeight="1" x14ac:dyDescent="0.2">
      <c r="A16" s="151" t="s">
        <v>492</v>
      </c>
      <c r="B16" s="123" t="s">
        <v>249</v>
      </c>
      <c r="C16" s="106">
        <v>3600</v>
      </c>
      <c r="D16" s="96">
        <v>8084</v>
      </c>
      <c r="E16" s="97"/>
      <c r="F16" s="96"/>
      <c r="G16" s="97"/>
      <c r="H16" s="375"/>
      <c r="I16" s="159"/>
      <c r="J16" s="159"/>
      <c r="K16" s="156">
        <f t="shared" si="0"/>
        <v>11684</v>
      </c>
      <c r="M16" s="76"/>
      <c r="N16" s="76"/>
      <c r="O16" s="76"/>
      <c r="P16" s="76"/>
      <c r="Q16" s="76"/>
      <c r="R16" s="76"/>
      <c r="S16" s="400"/>
    </row>
    <row r="17" spans="1:19" ht="17.25" customHeight="1" x14ac:dyDescent="0.2">
      <c r="A17" s="151" t="s">
        <v>493</v>
      </c>
      <c r="B17" s="123" t="s">
        <v>250</v>
      </c>
      <c r="C17" s="106"/>
      <c r="D17" s="96">
        <v>10160</v>
      </c>
      <c r="E17" s="97"/>
      <c r="F17" s="96"/>
      <c r="G17" s="97"/>
      <c r="H17" s="375"/>
      <c r="I17" s="159"/>
      <c r="J17" s="159"/>
      <c r="K17" s="156">
        <f t="shared" si="0"/>
        <v>10160</v>
      </c>
      <c r="M17" s="76"/>
      <c r="N17" s="76"/>
      <c r="O17" s="76"/>
      <c r="P17" s="76"/>
      <c r="Q17" s="76"/>
      <c r="R17" s="76"/>
      <c r="S17" s="400"/>
    </row>
    <row r="18" spans="1:19" ht="17.25" customHeight="1" x14ac:dyDescent="0.2">
      <c r="A18" s="151" t="s">
        <v>494</v>
      </c>
      <c r="B18" s="123" t="s">
        <v>251</v>
      </c>
      <c r="C18" s="106">
        <v>183</v>
      </c>
      <c r="D18" s="96"/>
      <c r="E18" s="97"/>
      <c r="F18" s="96"/>
      <c r="G18" s="97"/>
      <c r="H18" s="375"/>
      <c r="I18" s="159"/>
      <c r="J18" s="159"/>
      <c r="K18" s="156">
        <f t="shared" si="0"/>
        <v>183</v>
      </c>
      <c r="M18" s="76"/>
      <c r="N18" s="76"/>
      <c r="O18" s="76"/>
      <c r="P18" s="76"/>
      <c r="Q18" s="76"/>
      <c r="R18" s="76"/>
      <c r="S18" s="400"/>
    </row>
    <row r="19" spans="1:19" ht="17.25" customHeight="1" x14ac:dyDescent="0.2">
      <c r="A19" s="151" t="s">
        <v>530</v>
      </c>
      <c r="B19" s="125" t="s">
        <v>252</v>
      </c>
      <c r="C19" s="106">
        <v>1288</v>
      </c>
      <c r="D19" s="96">
        <v>2062</v>
      </c>
      <c r="E19" s="97"/>
      <c r="F19" s="96"/>
      <c r="G19" s="97" t="e">
        <f>'tám, végl. pe.átv  '!#REF!</f>
        <v>#REF!</v>
      </c>
      <c r="H19" s="341"/>
      <c r="J19" s="95">
        <v>0</v>
      </c>
      <c r="K19" s="156" t="e">
        <f>SUM(C19:J19)</f>
        <v>#REF!</v>
      </c>
      <c r="M19" s="76"/>
      <c r="N19" s="76"/>
      <c r="O19" s="76"/>
      <c r="P19" s="76"/>
      <c r="Q19" s="76"/>
      <c r="R19" s="76"/>
      <c r="S19" s="400"/>
    </row>
    <row r="20" spans="1:19" ht="17.25" customHeight="1" x14ac:dyDescent="0.2">
      <c r="A20" s="151" t="s">
        <v>531</v>
      </c>
      <c r="B20" s="123" t="s">
        <v>274</v>
      </c>
      <c r="C20" s="106">
        <v>25</v>
      </c>
      <c r="D20" s="96"/>
      <c r="E20" s="97"/>
      <c r="F20" s="96"/>
      <c r="G20" s="358">
        <v>447</v>
      </c>
      <c r="H20" s="376"/>
      <c r="I20" s="215"/>
      <c r="J20" s="215"/>
      <c r="K20" s="156">
        <f t="shared" si="0"/>
        <v>472</v>
      </c>
      <c r="M20" s="76"/>
      <c r="N20" s="76"/>
      <c r="O20" s="76"/>
      <c r="P20" s="76"/>
      <c r="Q20" s="76"/>
      <c r="R20" s="76"/>
      <c r="S20" s="400"/>
    </row>
    <row r="21" spans="1:19" s="78" customFormat="1" ht="17.25" customHeight="1" x14ac:dyDescent="0.2">
      <c r="A21" s="151" t="s">
        <v>532</v>
      </c>
      <c r="B21" s="123" t="s">
        <v>275</v>
      </c>
      <c r="C21" s="106"/>
      <c r="D21" s="96"/>
      <c r="E21" s="97"/>
      <c r="F21" s="96"/>
      <c r="G21" s="358">
        <f>'tám, végl. pe.átv  '!C11</f>
        <v>808714</v>
      </c>
      <c r="H21" s="353">
        <f>'tám, végl. pe.átv  '!D11</f>
        <v>129590</v>
      </c>
      <c r="I21" s="204"/>
      <c r="J21" s="204"/>
      <c r="K21" s="156">
        <f t="shared" si="0"/>
        <v>938304</v>
      </c>
      <c r="L21" s="215"/>
      <c r="S21" s="414"/>
    </row>
    <row r="22" spans="1:19" ht="17.25" customHeight="1" x14ac:dyDescent="0.2">
      <c r="A22" s="151" t="s">
        <v>533</v>
      </c>
      <c r="B22" s="123" t="s">
        <v>276</v>
      </c>
      <c r="C22" s="106"/>
      <c r="D22" s="96"/>
      <c r="E22" s="97"/>
      <c r="F22" s="96"/>
      <c r="G22" s="358">
        <f>'tám, végl. pe.átv  '!C17</f>
        <v>2272</v>
      </c>
      <c r="H22" s="376"/>
      <c r="I22" s="215"/>
      <c r="J22" s="215"/>
      <c r="K22" s="156">
        <f t="shared" si="0"/>
        <v>2272</v>
      </c>
      <c r="M22" s="76"/>
      <c r="N22" s="76"/>
      <c r="O22" s="76"/>
      <c r="P22" s="76"/>
      <c r="Q22" s="76"/>
      <c r="R22" s="76"/>
      <c r="S22" s="400"/>
    </row>
    <row r="23" spans="1:19" ht="17.25" customHeight="1" x14ac:dyDescent="0.2">
      <c r="A23" s="151" t="s">
        <v>534</v>
      </c>
      <c r="B23" s="123" t="s">
        <v>288</v>
      </c>
      <c r="C23" s="106"/>
      <c r="D23" s="96"/>
      <c r="E23" s="97"/>
      <c r="F23" s="96"/>
      <c r="G23" s="358"/>
      <c r="H23" s="353">
        <f>'tám, végl. pe.átv  '!D18</f>
        <v>1496</v>
      </c>
      <c r="I23" s="215"/>
      <c r="J23" s="215"/>
      <c r="K23" s="156">
        <f t="shared" si="0"/>
        <v>1496</v>
      </c>
      <c r="M23" s="76"/>
      <c r="N23" s="76"/>
      <c r="O23" s="76"/>
      <c r="P23" s="76"/>
      <c r="Q23" s="76"/>
      <c r="R23" s="76"/>
      <c r="S23" s="400"/>
    </row>
    <row r="24" spans="1:19" ht="17.25" customHeight="1" x14ac:dyDescent="0.2">
      <c r="A24" s="151" t="s">
        <v>535</v>
      </c>
      <c r="B24" s="123" t="s">
        <v>289</v>
      </c>
      <c r="C24" s="106"/>
      <c r="D24" s="96"/>
      <c r="E24" s="97"/>
      <c r="F24" s="96"/>
      <c r="G24" s="358">
        <v>1300</v>
      </c>
      <c r="H24" s="376"/>
      <c r="I24" s="215"/>
      <c r="J24" s="215"/>
      <c r="K24" s="156">
        <f t="shared" si="0"/>
        <v>1300</v>
      </c>
      <c r="M24" s="76"/>
      <c r="N24" s="76"/>
      <c r="O24" s="76"/>
      <c r="P24" s="76"/>
      <c r="Q24" s="76"/>
      <c r="R24" s="76"/>
      <c r="S24" s="400"/>
    </row>
    <row r="25" spans="1:19" ht="17.25" customHeight="1" x14ac:dyDescent="0.2">
      <c r="A25" s="151" t="s">
        <v>536</v>
      </c>
      <c r="B25" s="123" t="s">
        <v>277</v>
      </c>
      <c r="C25" s="106"/>
      <c r="D25" s="96"/>
      <c r="E25" s="97"/>
      <c r="F25" s="96"/>
      <c r="G25" s="358">
        <v>14203</v>
      </c>
      <c r="H25" s="353"/>
      <c r="I25" s="204"/>
      <c r="J25" s="204"/>
      <c r="K25" s="156">
        <f t="shared" si="0"/>
        <v>14203</v>
      </c>
      <c r="M25" s="76"/>
      <c r="N25" s="76"/>
      <c r="O25" s="76"/>
      <c r="P25" s="76"/>
      <c r="Q25" s="76"/>
      <c r="R25" s="76"/>
      <c r="S25" s="400"/>
    </row>
    <row r="26" spans="1:19" ht="17.25" customHeight="1" x14ac:dyDescent="0.2">
      <c r="A26" s="151" t="s">
        <v>537</v>
      </c>
      <c r="B26" s="123" t="s">
        <v>254</v>
      </c>
      <c r="C26" s="106"/>
      <c r="E26" s="97">
        <f>'közhatalmi bevételek'!D13</f>
        <v>346343</v>
      </c>
      <c r="F26" s="96">
        <f>'közhatalmi bevételek'!E13</f>
        <v>862657</v>
      </c>
      <c r="G26" s="97"/>
      <c r="H26" s="375"/>
      <c r="I26" s="159"/>
      <c r="J26" s="159"/>
      <c r="K26" s="156">
        <f t="shared" si="0"/>
        <v>1209000</v>
      </c>
      <c r="M26" s="76"/>
      <c r="N26" s="76"/>
      <c r="O26" s="76"/>
      <c r="P26" s="76"/>
      <c r="Q26" s="76"/>
      <c r="R26" s="76"/>
      <c r="S26" s="400"/>
    </row>
    <row r="27" spans="1:19" ht="17.25" customHeight="1" x14ac:dyDescent="0.2">
      <c r="A27" s="151" t="s">
        <v>539</v>
      </c>
      <c r="B27" s="125" t="s">
        <v>538</v>
      </c>
      <c r="C27" s="106"/>
      <c r="E27" s="97"/>
      <c r="F27" s="96"/>
      <c r="G27" s="97"/>
      <c r="H27" s="375"/>
      <c r="I27" s="159"/>
      <c r="J27" s="159"/>
      <c r="K27" s="156">
        <f t="shared" si="0"/>
        <v>0</v>
      </c>
      <c r="M27" s="76"/>
      <c r="N27" s="76"/>
      <c r="O27" s="76"/>
      <c r="P27" s="76"/>
      <c r="Q27" s="76"/>
      <c r="R27" s="76"/>
      <c r="S27" s="400"/>
    </row>
    <row r="28" spans="1:19" ht="17.25" customHeight="1" x14ac:dyDescent="0.2">
      <c r="A28" s="151" t="s">
        <v>540</v>
      </c>
      <c r="B28" s="123" t="s">
        <v>278</v>
      </c>
      <c r="C28" s="106"/>
      <c r="E28" s="97">
        <f>'közhatalmi bevételek'!D19</f>
        <v>17000</v>
      </c>
      <c r="F28" s="96"/>
      <c r="G28" s="97"/>
      <c r="H28" s="375"/>
      <c r="I28" s="159"/>
      <c r="J28" s="159"/>
      <c r="K28" s="156">
        <f t="shared" si="0"/>
        <v>17000</v>
      </c>
      <c r="M28" s="76"/>
      <c r="N28" s="76"/>
      <c r="O28" s="76"/>
      <c r="P28" s="76"/>
      <c r="Q28" s="76"/>
      <c r="R28" s="76"/>
      <c r="S28" s="400"/>
    </row>
    <row r="29" spans="1:19" s="78" customFormat="1" ht="17.25" customHeight="1" x14ac:dyDescent="0.2">
      <c r="A29" s="151" t="s">
        <v>541</v>
      </c>
      <c r="B29" s="123" t="s">
        <v>255</v>
      </c>
      <c r="C29" s="106"/>
      <c r="D29" s="98"/>
      <c r="E29" s="358">
        <f>'közhatalmi bevételek'!D15</f>
        <v>4500</v>
      </c>
      <c r="F29" s="96">
        <f>'közhatalmi bevételek'!E15</f>
        <v>0</v>
      </c>
      <c r="G29" s="106"/>
      <c r="H29" s="375"/>
      <c r="I29" s="159"/>
      <c r="J29" s="159"/>
      <c r="K29" s="156">
        <f t="shared" si="0"/>
        <v>4500</v>
      </c>
      <c r="L29" s="215"/>
      <c r="S29" s="414"/>
    </row>
    <row r="30" spans="1:19" ht="17.25" customHeight="1" x14ac:dyDescent="0.2">
      <c r="A30" s="151" t="s">
        <v>542</v>
      </c>
      <c r="B30" s="123" t="s">
        <v>256</v>
      </c>
      <c r="C30" s="106"/>
      <c r="D30" s="96"/>
      <c r="E30" s="358">
        <f>'közhatalmi bevételek'!D24</f>
        <v>820</v>
      </c>
      <c r="F30" s="96"/>
      <c r="G30" s="97"/>
      <c r="H30" s="375"/>
      <c r="I30" s="159"/>
      <c r="J30" s="159"/>
      <c r="K30" s="156">
        <f t="shared" si="0"/>
        <v>820</v>
      </c>
      <c r="M30" s="76"/>
      <c r="N30" s="76"/>
      <c r="O30" s="76"/>
      <c r="P30" s="76"/>
      <c r="Q30" s="76"/>
      <c r="R30" s="76"/>
      <c r="S30" s="400"/>
    </row>
    <row r="31" spans="1:19" ht="17.25" customHeight="1" x14ac:dyDescent="0.2">
      <c r="A31" s="151" t="s">
        <v>543</v>
      </c>
      <c r="B31" s="123" t="s">
        <v>257</v>
      </c>
      <c r="C31" s="106"/>
      <c r="D31" s="96"/>
      <c r="E31" s="97"/>
      <c r="F31" s="96"/>
      <c r="G31" s="97"/>
      <c r="H31" s="375"/>
      <c r="I31" s="159"/>
      <c r="J31" s="159"/>
      <c r="K31" s="156">
        <f t="shared" si="0"/>
        <v>0</v>
      </c>
      <c r="M31" s="76"/>
      <c r="N31" s="76"/>
      <c r="O31" s="76"/>
      <c r="P31" s="76"/>
      <c r="Q31" s="76"/>
      <c r="R31" s="76"/>
      <c r="S31" s="400"/>
    </row>
    <row r="32" spans="1:19" ht="17.25" customHeight="1" x14ac:dyDescent="0.2">
      <c r="A32" s="151" t="s">
        <v>545</v>
      </c>
      <c r="B32" s="123" t="s">
        <v>258</v>
      </c>
      <c r="C32" s="106">
        <v>140</v>
      </c>
      <c r="D32" s="96">
        <v>46</v>
      </c>
      <c r="E32" s="97"/>
      <c r="F32" s="96"/>
      <c r="G32" s="97"/>
      <c r="H32" s="375"/>
      <c r="I32" s="159"/>
      <c r="J32" s="159"/>
      <c r="K32" s="156">
        <f t="shared" si="0"/>
        <v>186</v>
      </c>
      <c r="M32" s="76"/>
      <c r="N32" s="76"/>
      <c r="O32" s="76"/>
      <c r="P32" s="76"/>
      <c r="Q32" s="76"/>
      <c r="R32" s="76"/>
      <c r="S32" s="400"/>
    </row>
    <row r="33" spans="1:19" ht="17.25" customHeight="1" x14ac:dyDescent="0.2">
      <c r="A33" s="151" t="s">
        <v>546</v>
      </c>
      <c r="B33" s="152" t="s">
        <v>259</v>
      </c>
      <c r="C33" s="160"/>
      <c r="D33" s="155"/>
      <c r="E33" s="154"/>
      <c r="F33" s="155"/>
      <c r="G33" s="359">
        <v>5065</v>
      </c>
      <c r="H33" s="375"/>
      <c r="I33" s="159"/>
      <c r="J33" s="159"/>
      <c r="K33" s="156">
        <f t="shared" si="0"/>
        <v>5065</v>
      </c>
      <c r="M33" s="76"/>
      <c r="N33" s="76"/>
      <c r="O33" s="76"/>
      <c r="P33" s="76"/>
      <c r="Q33" s="76"/>
      <c r="R33" s="76"/>
      <c r="S33" s="400"/>
    </row>
    <row r="34" spans="1:19" ht="17.25" customHeight="1" x14ac:dyDescent="0.2">
      <c r="A34" s="151" t="s">
        <v>564</v>
      </c>
      <c r="B34" s="152" t="s">
        <v>260</v>
      </c>
      <c r="C34" s="160"/>
      <c r="D34" s="155"/>
      <c r="E34" s="154"/>
      <c r="F34" s="155"/>
      <c r="G34" s="359">
        <v>0</v>
      </c>
      <c r="H34" s="375"/>
      <c r="I34" s="159"/>
      <c r="J34" s="159"/>
      <c r="K34" s="156">
        <f t="shared" si="0"/>
        <v>0</v>
      </c>
      <c r="M34" s="76"/>
      <c r="N34" s="76"/>
      <c r="O34" s="76"/>
      <c r="P34" s="76"/>
      <c r="Q34" s="76"/>
      <c r="R34" s="76"/>
      <c r="S34" s="400"/>
    </row>
    <row r="35" spans="1:19" ht="17.25" customHeight="1" x14ac:dyDescent="0.2">
      <c r="A35" s="151" t="s">
        <v>565</v>
      </c>
      <c r="B35" s="152" t="s">
        <v>261</v>
      </c>
      <c r="C35" s="160"/>
      <c r="D35" s="155"/>
      <c r="E35" s="154"/>
      <c r="F35" s="155"/>
      <c r="G35" s="359">
        <v>455</v>
      </c>
      <c r="H35" s="375"/>
      <c r="I35" s="159"/>
      <c r="J35" s="159"/>
      <c r="K35" s="156">
        <f t="shared" si="0"/>
        <v>455</v>
      </c>
      <c r="M35" s="76"/>
      <c r="N35" s="76"/>
      <c r="O35" s="76"/>
      <c r="P35" s="76"/>
      <c r="Q35" s="76"/>
      <c r="R35" s="76"/>
      <c r="S35" s="400"/>
    </row>
    <row r="36" spans="1:19" ht="17.25" customHeight="1" x14ac:dyDescent="0.2">
      <c r="A36" s="151" t="s">
        <v>566</v>
      </c>
      <c r="B36" s="152" t="s">
        <v>549</v>
      </c>
      <c r="C36" s="160"/>
      <c r="D36" s="155"/>
      <c r="E36" s="154"/>
      <c r="F36" s="155"/>
      <c r="G36" s="359">
        <v>500</v>
      </c>
      <c r="H36" s="375"/>
      <c r="I36" s="159"/>
      <c r="J36" s="159"/>
      <c r="K36" s="156">
        <f t="shared" si="0"/>
        <v>500</v>
      </c>
      <c r="M36" s="76"/>
      <c r="N36" s="76"/>
      <c r="O36" s="76"/>
      <c r="P36" s="76"/>
      <c r="Q36" s="76"/>
      <c r="R36" s="76"/>
      <c r="S36" s="400"/>
    </row>
    <row r="37" spans="1:19" ht="17.25" customHeight="1" x14ac:dyDescent="0.2">
      <c r="A37" s="151" t="s">
        <v>567</v>
      </c>
      <c r="B37" s="152" t="s">
        <v>262</v>
      </c>
      <c r="C37" s="160"/>
      <c r="D37" s="155"/>
      <c r="E37" s="154"/>
      <c r="F37" s="155"/>
      <c r="G37" s="359">
        <v>2032</v>
      </c>
      <c r="H37" s="375"/>
      <c r="I37" s="159"/>
      <c r="J37" s="159"/>
      <c r="K37" s="156">
        <f t="shared" si="0"/>
        <v>2032</v>
      </c>
      <c r="M37" s="76"/>
      <c r="N37" s="76"/>
      <c r="O37" s="76"/>
      <c r="P37" s="76"/>
      <c r="Q37" s="76"/>
      <c r="R37" s="76"/>
      <c r="S37" s="400"/>
    </row>
    <row r="38" spans="1:19" ht="17.25" customHeight="1" x14ac:dyDescent="0.2">
      <c r="A38" s="151" t="s">
        <v>568</v>
      </c>
      <c r="B38" s="152" t="s">
        <v>263</v>
      </c>
      <c r="C38" s="160"/>
      <c r="D38" s="361">
        <v>2286</v>
      </c>
      <c r="E38" s="160"/>
      <c r="F38" s="155"/>
      <c r="G38" s="360"/>
      <c r="H38" s="341"/>
      <c r="K38" s="156">
        <f t="shared" si="0"/>
        <v>2286</v>
      </c>
      <c r="M38" s="76"/>
      <c r="N38" s="76"/>
      <c r="O38" s="76"/>
      <c r="P38" s="76"/>
      <c r="Q38" s="76"/>
      <c r="R38" s="76"/>
      <c r="S38" s="400"/>
    </row>
    <row r="39" spans="1:19" ht="17.25" customHeight="1" thickBot="1" x14ac:dyDescent="0.25">
      <c r="A39" s="151" t="s">
        <v>569</v>
      </c>
      <c r="B39" s="152" t="s">
        <v>264</v>
      </c>
      <c r="C39" s="160"/>
      <c r="D39" s="155"/>
      <c r="E39" s="154"/>
      <c r="F39" s="155"/>
      <c r="G39" s="154"/>
      <c r="H39" s="375"/>
      <c r="I39" s="159"/>
      <c r="J39" s="159"/>
      <c r="K39" s="156">
        <f t="shared" si="0"/>
        <v>0</v>
      </c>
      <c r="M39" s="76"/>
      <c r="N39" s="76"/>
      <c r="O39" s="76"/>
      <c r="P39" s="76"/>
      <c r="Q39" s="76"/>
      <c r="R39" s="76"/>
      <c r="S39" s="400"/>
    </row>
    <row r="40" spans="1:19" ht="17.25" customHeight="1" thickBot="1" x14ac:dyDescent="0.25">
      <c r="A40" s="1536" t="s">
        <v>573</v>
      </c>
      <c r="B40" s="1537"/>
      <c r="C40" s="256">
        <f>SUM(C10:C39)</f>
        <v>40369</v>
      </c>
      <c r="D40" s="256">
        <f>SUM(D10:D39)</f>
        <v>43113</v>
      </c>
      <c r="E40" s="388">
        <f>SUM(E10:E39)</f>
        <v>377663</v>
      </c>
      <c r="F40" s="389">
        <f>SUM(F10:F39)</f>
        <v>862657</v>
      </c>
      <c r="G40" s="256" t="e">
        <f>SUM(G10:G39)</f>
        <v>#REF!</v>
      </c>
      <c r="H40" s="377">
        <f>SUM(H12:H39)</f>
        <v>131086</v>
      </c>
      <c r="I40" s="377">
        <f>SUM(I12:I39)</f>
        <v>0</v>
      </c>
      <c r="J40" s="377">
        <f>SUM(J12:J39)</f>
        <v>0</v>
      </c>
      <c r="K40" s="257" t="e">
        <f>SUM(C40:J40)</f>
        <v>#REF!</v>
      </c>
      <c r="M40" s="76"/>
      <c r="N40" s="76"/>
      <c r="O40" s="76"/>
      <c r="P40" s="76"/>
      <c r="Q40" s="76"/>
      <c r="R40" s="76"/>
      <c r="S40" s="400"/>
    </row>
    <row r="41" spans="1:19" ht="17.25" customHeight="1" x14ac:dyDescent="0.2">
      <c r="M41" s="76"/>
      <c r="N41" s="76"/>
      <c r="O41" s="76"/>
      <c r="P41" s="76"/>
      <c r="Q41" s="76"/>
      <c r="R41" s="76"/>
      <c r="S41" s="400"/>
    </row>
    <row r="42" spans="1:19" ht="17.25" customHeight="1" x14ac:dyDescent="0.2">
      <c r="M42" s="76"/>
      <c r="N42" s="76"/>
      <c r="O42" s="76"/>
      <c r="P42" s="76"/>
      <c r="Q42" s="76"/>
      <c r="R42" s="76"/>
      <c r="S42" s="400"/>
    </row>
    <row r="43" spans="1:19" ht="17.25" customHeight="1" x14ac:dyDescent="0.2">
      <c r="M43" s="76"/>
      <c r="N43" s="76"/>
      <c r="O43" s="76"/>
      <c r="P43" s="76"/>
      <c r="Q43" s="76"/>
      <c r="R43" s="76"/>
      <c r="S43" s="400"/>
    </row>
    <row r="44" spans="1:19" ht="17.25" customHeight="1" x14ac:dyDescent="0.2">
      <c r="M44" s="76"/>
      <c r="N44" s="76"/>
      <c r="O44" s="76"/>
      <c r="P44" s="76"/>
      <c r="Q44" s="76"/>
      <c r="R44" s="76"/>
      <c r="S44" s="400"/>
    </row>
    <row r="45" spans="1:19" ht="17.25" customHeight="1" x14ac:dyDescent="0.2">
      <c r="M45" s="76"/>
      <c r="N45" s="76"/>
      <c r="O45" s="76"/>
      <c r="P45" s="76"/>
      <c r="Q45" s="76"/>
      <c r="R45" s="76"/>
      <c r="S45" s="400"/>
    </row>
    <row r="46" spans="1:19" ht="17.25" customHeight="1" x14ac:dyDescent="0.2">
      <c r="M46" s="76"/>
      <c r="N46" s="76"/>
      <c r="O46" s="76"/>
      <c r="P46" s="76"/>
      <c r="Q46" s="76"/>
      <c r="R46" s="76"/>
      <c r="S46" s="400"/>
    </row>
    <row r="47" spans="1:19" ht="17.25" customHeight="1" x14ac:dyDescent="0.2">
      <c r="M47" s="76"/>
      <c r="N47" s="76"/>
      <c r="O47" s="76"/>
      <c r="P47" s="76"/>
      <c r="Q47" s="76"/>
      <c r="R47" s="76"/>
      <c r="S47" s="400"/>
    </row>
    <row r="48" spans="1:19" ht="17.25" customHeight="1" x14ac:dyDescent="0.2">
      <c r="M48" s="76"/>
      <c r="N48" s="76"/>
      <c r="O48" s="76"/>
      <c r="P48" s="76"/>
      <c r="Q48" s="76"/>
      <c r="R48" s="76"/>
      <c r="S48" s="400"/>
    </row>
    <row r="49" spans="2:24" ht="17.25" customHeight="1" x14ac:dyDescent="0.2">
      <c r="M49" s="76"/>
      <c r="N49" s="76"/>
      <c r="O49" s="76"/>
      <c r="P49" s="76"/>
      <c r="Q49" s="76"/>
      <c r="R49" s="76"/>
      <c r="S49" s="400"/>
    </row>
    <row r="50" spans="2:24" ht="17.25" customHeight="1" x14ac:dyDescent="0.2">
      <c r="M50" s="76"/>
      <c r="N50" s="76"/>
      <c r="O50" s="76"/>
      <c r="P50" s="76"/>
      <c r="Q50" s="76"/>
      <c r="R50" s="76"/>
      <c r="S50" s="400"/>
    </row>
    <row r="51" spans="2:24" ht="17.25" customHeight="1" x14ac:dyDescent="0.2">
      <c r="M51" s="76"/>
      <c r="N51" s="76"/>
      <c r="O51" s="76"/>
      <c r="P51" s="76"/>
      <c r="Q51" s="76"/>
      <c r="R51" s="76"/>
      <c r="S51" s="400"/>
    </row>
    <row r="52" spans="2:24" ht="17.25" customHeight="1" x14ac:dyDescent="0.2">
      <c r="M52" s="76"/>
      <c r="N52" s="76"/>
      <c r="O52" s="76"/>
      <c r="P52" s="76"/>
      <c r="Q52" s="76"/>
      <c r="R52" s="76"/>
      <c r="S52" s="400"/>
    </row>
    <row r="53" spans="2:24" ht="17.25" customHeight="1" x14ac:dyDescent="0.2">
      <c r="M53" s="76"/>
      <c r="N53" s="76"/>
      <c r="O53" s="76"/>
      <c r="P53" s="76"/>
      <c r="Q53" s="76"/>
      <c r="R53" s="76"/>
      <c r="S53" s="400"/>
    </row>
    <row r="54" spans="2:24" ht="17.25" customHeight="1" x14ac:dyDescent="0.2">
      <c r="M54" s="76"/>
      <c r="N54" s="76"/>
      <c r="O54" s="76"/>
      <c r="P54" s="76"/>
      <c r="Q54" s="76"/>
      <c r="R54" s="76"/>
      <c r="S54" s="400"/>
    </row>
    <row r="55" spans="2:24" ht="17.25" customHeight="1" x14ac:dyDescent="0.2">
      <c r="M55" s="76"/>
      <c r="N55" s="76"/>
      <c r="O55" s="76"/>
      <c r="P55" s="76"/>
      <c r="Q55" s="76"/>
      <c r="R55" s="76"/>
      <c r="S55" s="400"/>
    </row>
    <row r="56" spans="2:24" ht="17.25" customHeight="1" x14ac:dyDescent="0.2">
      <c r="M56" s="76"/>
      <c r="N56" s="76"/>
      <c r="O56" s="76"/>
      <c r="P56" s="76"/>
      <c r="Q56" s="76"/>
      <c r="R56" s="76"/>
      <c r="S56" s="400"/>
    </row>
    <row r="57" spans="2:24" ht="17.25" customHeight="1" x14ac:dyDescent="0.2">
      <c r="M57" s="76"/>
      <c r="N57" s="76"/>
      <c r="O57" s="76"/>
      <c r="P57" s="76"/>
      <c r="Q57" s="76"/>
      <c r="R57" s="76"/>
      <c r="S57" s="400"/>
    </row>
    <row r="58" spans="2:24" ht="17.25" customHeight="1" x14ac:dyDescent="0.2">
      <c r="M58" s="76"/>
      <c r="N58" s="76"/>
      <c r="O58" s="76"/>
      <c r="P58" s="76"/>
      <c r="Q58" s="76"/>
      <c r="R58" s="76"/>
      <c r="S58" s="400"/>
    </row>
    <row r="64" spans="2:24" ht="17.25" customHeight="1" x14ac:dyDescent="0.2">
      <c r="B64" s="1559" t="s">
        <v>550</v>
      </c>
      <c r="C64" s="1456"/>
      <c r="D64" s="1456"/>
      <c r="E64" s="1456"/>
      <c r="F64" s="1456"/>
      <c r="G64" s="1456"/>
      <c r="H64" s="1456"/>
      <c r="I64" s="1456"/>
      <c r="J64" s="1456"/>
      <c r="K64" s="1456"/>
      <c r="L64" s="1456"/>
      <c r="M64" s="1456"/>
      <c r="N64" s="1456"/>
      <c r="O64" s="1456"/>
      <c r="P64" s="1456"/>
      <c r="Q64" s="1456"/>
      <c r="R64" s="1456"/>
      <c r="W64" s="77"/>
      <c r="X64" s="77"/>
    </row>
    <row r="65" spans="1:23" ht="17.25" customHeight="1" x14ac:dyDescent="0.2">
      <c r="D65" s="93"/>
      <c r="E65" s="93"/>
      <c r="F65" s="93"/>
      <c r="G65" s="93"/>
      <c r="H65" s="93"/>
      <c r="I65" s="93"/>
      <c r="J65" s="93"/>
      <c r="K65" s="93"/>
      <c r="W65" s="77"/>
    </row>
    <row r="66" spans="1:23" ht="17.25" customHeight="1" x14ac:dyDescent="0.2">
      <c r="A66" s="1406" t="s">
        <v>527</v>
      </c>
      <c r="B66" s="1456"/>
      <c r="C66" s="1456"/>
      <c r="D66" s="1456"/>
      <c r="E66" s="1456"/>
      <c r="F66" s="1456"/>
      <c r="G66" s="1456"/>
      <c r="H66" s="1456"/>
      <c r="I66" s="1456"/>
      <c r="J66" s="1456"/>
      <c r="K66" s="1456"/>
      <c r="L66" s="1456"/>
      <c r="M66" s="1456"/>
      <c r="N66" s="1456"/>
      <c r="O66" s="1456"/>
      <c r="P66" s="1456"/>
      <c r="Q66" s="1456"/>
      <c r="R66" s="1456"/>
    </row>
    <row r="67" spans="1:23" ht="17.25" customHeight="1" x14ac:dyDescent="0.2">
      <c r="A67" s="1406" t="s">
        <v>291</v>
      </c>
      <c r="B67" s="1456"/>
      <c r="C67" s="1456"/>
      <c r="D67" s="1456"/>
      <c r="E67" s="1456"/>
      <c r="F67" s="1456"/>
      <c r="G67" s="1456"/>
      <c r="H67" s="1456"/>
      <c r="I67" s="1456"/>
      <c r="J67" s="1456"/>
      <c r="K67" s="1456"/>
      <c r="L67" s="1456"/>
      <c r="M67" s="1456"/>
      <c r="N67" s="1456"/>
      <c r="O67" s="1456"/>
      <c r="P67" s="1456"/>
      <c r="Q67" s="1456"/>
      <c r="R67" s="1456"/>
    </row>
    <row r="68" spans="1:23" ht="17.25" customHeight="1" x14ac:dyDescent="0.2">
      <c r="B68" s="146"/>
      <c r="C68" s="147"/>
      <c r="D68" s="147"/>
      <c r="E68" s="147"/>
      <c r="F68" s="147"/>
      <c r="G68" s="147"/>
      <c r="H68" s="147"/>
      <c r="I68" s="147"/>
      <c r="J68" s="147"/>
      <c r="K68" s="147"/>
    </row>
    <row r="69" spans="1:23" ht="12.75" customHeight="1" thickBot="1" x14ac:dyDescent="0.25">
      <c r="A69" s="1565" t="s">
        <v>302</v>
      </c>
      <c r="B69" s="1495"/>
      <c r="C69" s="1495"/>
      <c r="D69" s="1495"/>
      <c r="E69" s="1495"/>
      <c r="F69" s="1495"/>
      <c r="G69" s="1495"/>
      <c r="H69" s="1495"/>
      <c r="I69" s="1495"/>
      <c r="J69" s="1495"/>
      <c r="K69" s="1495"/>
      <c r="L69" s="1566"/>
      <c r="M69" s="1566"/>
      <c r="N69" s="1566"/>
      <c r="O69" s="1566"/>
      <c r="P69" s="1566"/>
      <c r="Q69" s="1566"/>
      <c r="R69" s="1566"/>
    </row>
    <row r="70" spans="1:23" s="94" customFormat="1" ht="11.25" customHeight="1" x14ac:dyDescent="0.2">
      <c r="A70" s="1549" t="s">
        <v>469</v>
      </c>
      <c r="B70" s="1538" t="s">
        <v>85</v>
      </c>
      <c r="C70" s="1556" t="s">
        <v>57</v>
      </c>
      <c r="D70" s="1555"/>
      <c r="E70" s="1555" t="s">
        <v>58</v>
      </c>
      <c r="F70" s="1555"/>
      <c r="G70" s="1555" t="s">
        <v>59</v>
      </c>
      <c r="H70" s="1555"/>
      <c r="I70" s="1557"/>
      <c r="J70" s="1556"/>
      <c r="K70" s="226" t="s">
        <v>60</v>
      </c>
      <c r="L70" s="1558" t="s">
        <v>470</v>
      </c>
      <c r="M70" s="1554"/>
      <c r="N70" s="1554" t="s">
        <v>471</v>
      </c>
      <c r="O70" s="1554"/>
      <c r="P70" s="1554" t="s">
        <v>472</v>
      </c>
      <c r="Q70" s="1554"/>
      <c r="R70" s="222" t="s">
        <v>592</v>
      </c>
      <c r="S70" s="411"/>
    </row>
    <row r="71" spans="1:23" ht="31.5" customHeight="1" x14ac:dyDescent="0.2">
      <c r="A71" s="1550"/>
      <c r="B71" s="1539"/>
      <c r="C71" s="1560" t="s">
        <v>551</v>
      </c>
      <c r="D71" s="1563"/>
      <c r="E71" s="1563"/>
      <c r="F71" s="1563"/>
      <c r="G71" s="1563"/>
      <c r="H71" s="1563"/>
      <c r="I71" s="1563"/>
      <c r="J71" s="1563"/>
      <c r="K71" s="1564"/>
      <c r="L71" s="1560" t="s">
        <v>514</v>
      </c>
      <c r="M71" s="1561"/>
      <c r="N71" s="1561"/>
      <c r="O71" s="1561"/>
      <c r="P71" s="1561"/>
      <c r="Q71" s="1561"/>
      <c r="R71" s="1562"/>
    </row>
    <row r="72" spans="1:23" ht="36" customHeight="1" thickBot="1" x14ac:dyDescent="0.25">
      <c r="A72" s="1550"/>
      <c r="B72" s="1539"/>
      <c r="C72" s="1541" t="s">
        <v>452</v>
      </c>
      <c r="D72" s="1542"/>
      <c r="E72" s="1542" t="s">
        <v>453</v>
      </c>
      <c r="F72" s="1542"/>
      <c r="G72" s="1542" t="s">
        <v>22</v>
      </c>
      <c r="H72" s="1542"/>
      <c r="I72" s="1543"/>
      <c r="J72" s="1544"/>
      <c r="K72" s="1552" t="s">
        <v>529</v>
      </c>
      <c r="L72" s="1541" t="s">
        <v>452</v>
      </c>
      <c r="M72" s="1542"/>
      <c r="N72" s="1542" t="s">
        <v>453</v>
      </c>
      <c r="O72" s="1542"/>
      <c r="P72" s="1542" t="s">
        <v>22</v>
      </c>
      <c r="Q72" s="1542"/>
      <c r="R72" s="1547" t="s">
        <v>529</v>
      </c>
    </row>
    <row r="73" spans="1:23" ht="35.25" customHeight="1" thickBot="1" x14ac:dyDescent="0.25">
      <c r="A73" s="1550"/>
      <c r="B73" s="1539"/>
      <c r="C73" s="1541"/>
      <c r="D73" s="1542"/>
      <c r="E73" s="1542"/>
      <c r="F73" s="1542"/>
      <c r="G73" s="1542"/>
      <c r="H73" s="1542"/>
      <c r="I73" s="1545"/>
      <c r="J73" s="1546"/>
      <c r="K73" s="1552"/>
      <c r="L73" s="1541"/>
      <c r="M73" s="1542"/>
      <c r="N73" s="1542"/>
      <c r="O73" s="1542"/>
      <c r="P73" s="1542"/>
      <c r="Q73" s="1542"/>
      <c r="R73" s="1547"/>
    </row>
    <row r="74" spans="1:23" ht="32.25" customHeight="1" thickBot="1" x14ac:dyDescent="0.25">
      <c r="A74" s="1551"/>
      <c r="B74" s="1540"/>
      <c r="C74" s="364" t="s">
        <v>62</v>
      </c>
      <c r="D74" s="228" t="s">
        <v>63</v>
      </c>
      <c r="E74" s="227" t="s">
        <v>62</v>
      </c>
      <c r="F74" s="227" t="s">
        <v>63</v>
      </c>
      <c r="G74" s="227" t="s">
        <v>62</v>
      </c>
      <c r="H74" s="227" t="s">
        <v>63</v>
      </c>
      <c r="I74" s="227" t="s">
        <v>62</v>
      </c>
      <c r="J74" s="227" t="s">
        <v>63</v>
      </c>
      <c r="K74" s="1553"/>
      <c r="L74" s="230" t="s">
        <v>62</v>
      </c>
      <c r="M74" s="231" t="s">
        <v>63</v>
      </c>
      <c r="N74" s="225" t="s">
        <v>62</v>
      </c>
      <c r="O74" s="225" t="s">
        <v>63</v>
      </c>
      <c r="P74" s="225" t="s">
        <v>62</v>
      </c>
      <c r="Q74" s="225" t="s">
        <v>63</v>
      </c>
      <c r="R74" s="1548"/>
    </row>
    <row r="75" spans="1:23" ht="17.25" customHeight="1" x14ac:dyDescent="0.2">
      <c r="A75" s="161">
        <v>1</v>
      </c>
      <c r="B75" s="407" t="s">
        <v>554</v>
      </c>
      <c r="C75" s="174">
        <v>10</v>
      </c>
      <c r="D75" s="174">
        <v>0</v>
      </c>
      <c r="E75" s="174"/>
      <c r="F75" s="174"/>
      <c r="G75" s="174"/>
      <c r="H75" s="174"/>
      <c r="I75" s="174"/>
      <c r="J75" s="174"/>
      <c r="K75" s="363">
        <f>SUM(C75:H75)</f>
        <v>10</v>
      </c>
      <c r="L75" s="232">
        <v>20</v>
      </c>
      <c r="M75" s="232">
        <v>188</v>
      </c>
      <c r="N75" s="232"/>
      <c r="O75" s="232"/>
      <c r="P75" s="232"/>
      <c r="Q75" s="232"/>
      <c r="R75" s="233">
        <f>SUM(L75:Q75)</f>
        <v>208</v>
      </c>
    </row>
    <row r="76" spans="1:23" ht="17.25" customHeight="1" x14ac:dyDescent="0.2">
      <c r="A76" s="161">
        <v>2</v>
      </c>
      <c r="B76" s="408" t="s">
        <v>553</v>
      </c>
      <c r="C76" s="174"/>
      <c r="D76" s="174">
        <v>284</v>
      </c>
      <c r="E76" s="174"/>
      <c r="F76" s="174"/>
      <c r="G76" s="174"/>
      <c r="H76" s="174"/>
      <c r="I76" s="174"/>
      <c r="J76" s="174"/>
      <c r="K76" s="384">
        <f>SUM(C76:H76)</f>
        <v>284</v>
      </c>
      <c r="L76" s="174"/>
      <c r="M76" s="174"/>
      <c r="N76" s="174"/>
      <c r="O76" s="174"/>
      <c r="P76" s="174"/>
      <c r="Q76" s="174"/>
      <c r="R76" s="378"/>
    </row>
    <row r="77" spans="1:23" ht="17.25" customHeight="1" x14ac:dyDescent="0.2">
      <c r="A77" s="161">
        <v>3</v>
      </c>
      <c r="B77" s="408" t="s">
        <v>552</v>
      </c>
      <c r="C77" s="174">
        <v>3</v>
      </c>
      <c r="D77" s="174">
        <v>78</v>
      </c>
      <c r="E77" s="174"/>
      <c r="F77" s="174"/>
      <c r="G77" s="174"/>
      <c r="H77" s="174"/>
      <c r="I77" s="174"/>
      <c r="J77" s="174"/>
      <c r="K77" s="384">
        <f>SUM(C77:H77)</f>
        <v>81</v>
      </c>
      <c r="L77" s="174"/>
      <c r="M77" s="174"/>
      <c r="N77" s="174"/>
      <c r="O77" s="174"/>
      <c r="P77" s="174"/>
      <c r="Q77" s="174"/>
      <c r="R77" s="378"/>
    </row>
    <row r="78" spans="1:23" ht="17.25" customHeight="1" x14ac:dyDescent="0.2">
      <c r="A78" s="151">
        <v>4</v>
      </c>
      <c r="B78" s="408" t="s">
        <v>555</v>
      </c>
      <c r="C78" s="406">
        <v>2</v>
      </c>
      <c r="D78" s="229"/>
      <c r="E78" s="229"/>
      <c r="F78" s="229"/>
      <c r="G78" s="229"/>
      <c r="H78" s="229"/>
      <c r="I78" s="229"/>
      <c r="J78" s="229"/>
      <c r="K78" s="384">
        <f>SUM(C78:H78)</f>
        <v>2</v>
      </c>
      <c r="L78" s="234"/>
      <c r="M78" s="234"/>
      <c r="N78" s="234"/>
      <c r="O78" s="234"/>
      <c r="P78" s="234"/>
      <c r="Q78" s="234"/>
      <c r="R78" s="235"/>
    </row>
    <row r="79" spans="1:23" ht="17.25" customHeight="1" thickBot="1" x14ac:dyDescent="0.25">
      <c r="A79" s="385">
        <v>5</v>
      </c>
      <c r="B79" s="409" t="s">
        <v>556</v>
      </c>
      <c r="C79" s="406"/>
      <c r="D79" s="229">
        <v>40</v>
      </c>
      <c r="E79" s="229"/>
      <c r="F79" s="229"/>
      <c r="G79" s="229"/>
      <c r="H79" s="229"/>
      <c r="I79" s="229"/>
      <c r="J79" s="229"/>
      <c r="K79" s="410">
        <f>SUM(C79:J79)</f>
        <v>40</v>
      </c>
      <c r="L79" s="234"/>
      <c r="M79" s="234"/>
      <c r="N79" s="234"/>
      <c r="O79" s="234"/>
      <c r="P79" s="234"/>
      <c r="Q79" s="234"/>
      <c r="R79" s="235"/>
    </row>
    <row r="80" spans="1:23" ht="17.25" customHeight="1" thickBot="1" x14ac:dyDescent="0.25">
      <c r="A80" s="372" t="s">
        <v>265</v>
      </c>
      <c r="B80" s="379"/>
      <c r="C80" s="380">
        <f>SUM(C74:C78)</f>
        <v>15</v>
      </c>
      <c r="D80" s="380">
        <f>SUM(D74:D79)</f>
        <v>402</v>
      </c>
      <c r="E80" s="381">
        <f>SUM(E74)</f>
        <v>0</v>
      </c>
      <c r="F80" s="381">
        <f>SUM(F74)</f>
        <v>0</v>
      </c>
      <c r="G80" s="381">
        <f>SUM(G74)</f>
        <v>0</v>
      </c>
      <c r="H80" s="381">
        <f>SUM(H74:H78)</f>
        <v>0</v>
      </c>
      <c r="I80" s="382"/>
      <c r="J80" s="382"/>
      <c r="K80" s="383">
        <f>SUM(K74:K79)</f>
        <v>417</v>
      </c>
      <c r="L80" s="362">
        <f>SUM(L75:L78)</f>
        <v>20</v>
      </c>
      <c r="M80" s="223">
        <f>SUM(M75:M78)</f>
        <v>188</v>
      </c>
      <c r="N80" s="223"/>
      <c r="O80" s="223"/>
      <c r="P80" s="223"/>
      <c r="Q80" s="223"/>
      <c r="R80" s="236">
        <f>SUM(L80:Q80)</f>
        <v>208</v>
      </c>
      <c r="S80" s="412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P84"/>
  <sheetViews>
    <sheetView zoomScale="130" zoomScaleNormal="130" workbookViewId="0">
      <pane xSplit="3" ySplit="9" topLeftCell="D66" activePane="bottomRight" state="frozen"/>
      <selection pane="topRight" activeCell="D1" sqref="D1"/>
      <selection pane="bottomLeft" activeCell="A10" sqref="A10"/>
      <selection pane="bottomRight" activeCell="H80" sqref="H80"/>
    </sheetView>
  </sheetViews>
  <sheetFormatPr defaultColWidth="9.140625" defaultRowHeight="10.5" x14ac:dyDescent="0.2"/>
  <cols>
    <col min="1" max="1" width="4.140625" style="76" customWidth="1"/>
    <col min="2" max="2" width="4.85546875" style="249" customWidth="1"/>
    <col min="3" max="3" width="26.7109375" style="253" customWidth="1"/>
    <col min="4" max="6" width="5.85546875" style="254" customWidth="1"/>
    <col min="7" max="9" width="6.7109375" style="255" customWidth="1"/>
    <col min="10" max="12" width="5.85546875" style="255" customWidth="1"/>
    <col min="13" max="15" width="6.42578125" style="255" customWidth="1"/>
    <col min="16" max="18" width="5.28515625" style="255" customWidth="1"/>
    <col min="19" max="21" width="6.42578125" style="255" customWidth="1"/>
    <col min="22" max="22" width="5.7109375" style="255" customWidth="1"/>
    <col min="23" max="25" width="5.5703125" style="255" customWidth="1"/>
    <col min="26" max="26" width="6" style="255" customWidth="1"/>
    <col min="27" max="31" width="5.85546875" style="255" customWidth="1"/>
    <col min="32" max="34" width="4.7109375" style="255" customWidth="1"/>
    <col min="35" max="37" width="5" style="255" customWidth="1"/>
    <col min="38" max="38" width="6.5703125" style="255" bestFit="1" customWidth="1"/>
    <col min="39" max="39" width="8.140625" style="248" customWidth="1"/>
    <col min="40" max="42" width="9.140625" style="248"/>
    <col min="43" max="16384" width="9.140625" style="76"/>
  </cols>
  <sheetData>
    <row r="1" spans="1:42" ht="12.75" x14ac:dyDescent="0.2">
      <c r="B1" s="1598" t="s">
        <v>1394</v>
      </c>
      <c r="C1" s="1599"/>
      <c r="D1" s="1599"/>
      <c r="E1" s="1599"/>
      <c r="F1" s="1599"/>
      <c r="G1" s="1599"/>
      <c r="H1" s="1599"/>
      <c r="I1" s="1599"/>
      <c r="J1" s="1599"/>
      <c r="K1" s="1599"/>
      <c r="L1" s="1599"/>
      <c r="M1" s="1599"/>
      <c r="N1" s="1599"/>
      <c r="O1" s="1599"/>
      <c r="P1" s="1599"/>
      <c r="Q1" s="1599"/>
      <c r="R1" s="1599"/>
      <c r="S1" s="1599"/>
      <c r="T1" s="1599"/>
      <c r="U1" s="1599"/>
      <c r="V1" s="1599"/>
      <c r="W1" s="1599"/>
      <c r="X1" s="1599"/>
      <c r="Y1" s="1599"/>
      <c r="Z1" s="1599"/>
      <c r="AA1" s="1599"/>
      <c r="AB1" s="1599"/>
      <c r="AC1" s="1599"/>
      <c r="AD1" s="1599"/>
      <c r="AE1" s="1599"/>
      <c r="AF1" s="1599"/>
      <c r="AG1" s="1599"/>
      <c r="AH1" s="1599"/>
      <c r="AI1" s="1599"/>
      <c r="AJ1" s="1599"/>
      <c r="AK1" s="1599"/>
      <c r="AL1" s="1599"/>
    </row>
    <row r="2" spans="1:42" ht="12.75" x14ac:dyDescent="0.2">
      <c r="B2" s="1600" t="s">
        <v>77</v>
      </c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1601"/>
      <c r="T2" s="1601"/>
      <c r="U2" s="1601"/>
      <c r="V2" s="1601"/>
      <c r="W2" s="1601"/>
      <c r="X2" s="1601"/>
      <c r="Y2" s="1601"/>
      <c r="Z2" s="1601"/>
      <c r="AA2" s="1601"/>
      <c r="AB2" s="1601"/>
      <c r="AC2" s="1601"/>
      <c r="AD2" s="1601"/>
      <c r="AE2" s="1601"/>
      <c r="AF2" s="1601"/>
      <c r="AG2" s="1601"/>
      <c r="AH2" s="1601"/>
      <c r="AI2" s="1601"/>
      <c r="AJ2" s="1601"/>
      <c r="AK2" s="1601"/>
      <c r="AL2" s="1601"/>
    </row>
    <row r="3" spans="1:42" ht="12.75" x14ac:dyDescent="0.2">
      <c r="A3" s="77"/>
      <c r="B3" s="1406" t="s">
        <v>1147</v>
      </c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  <c r="X3" s="1602"/>
      <c r="Y3" s="1602"/>
      <c r="Z3" s="1602"/>
      <c r="AA3" s="1602"/>
      <c r="AB3" s="1602"/>
      <c r="AC3" s="1602"/>
      <c r="AD3" s="1602"/>
      <c r="AE3" s="1602"/>
      <c r="AF3" s="1602"/>
      <c r="AG3" s="1602"/>
      <c r="AH3" s="1602"/>
      <c r="AI3" s="1602"/>
      <c r="AJ3" s="1602"/>
      <c r="AK3" s="1602"/>
      <c r="AL3" s="1602"/>
    </row>
    <row r="4" spans="1:42" x14ac:dyDescent="0.2">
      <c r="A4" s="77"/>
      <c r="C4" s="1612" t="s">
        <v>302</v>
      </c>
      <c r="D4" s="1612"/>
      <c r="E4" s="1612"/>
      <c r="F4" s="1612"/>
      <c r="G4" s="1612"/>
      <c r="H4" s="1612"/>
      <c r="I4" s="1612"/>
      <c r="J4" s="1612"/>
      <c r="K4" s="1612"/>
      <c r="L4" s="1612"/>
      <c r="M4" s="1612"/>
      <c r="N4" s="1612"/>
      <c r="O4" s="1612"/>
      <c r="P4" s="1612"/>
      <c r="Q4" s="1612"/>
      <c r="R4" s="1612"/>
      <c r="S4" s="1612"/>
      <c r="T4" s="1612"/>
      <c r="U4" s="1612"/>
      <c r="V4" s="1612"/>
      <c r="W4" s="1612"/>
      <c r="X4" s="1612"/>
      <c r="Y4" s="1612"/>
      <c r="Z4" s="1612"/>
      <c r="AA4" s="1612"/>
      <c r="AB4" s="1612"/>
      <c r="AC4" s="1612"/>
      <c r="AD4" s="1612"/>
      <c r="AE4" s="1612"/>
      <c r="AF4" s="1612"/>
      <c r="AG4" s="1612"/>
      <c r="AH4" s="1612"/>
      <c r="AI4" s="1612"/>
      <c r="AJ4" s="1612"/>
      <c r="AK4" s="1612"/>
      <c r="AL4" s="1612"/>
    </row>
    <row r="5" spans="1:42" x14ac:dyDescent="0.2">
      <c r="A5" s="590"/>
      <c r="B5" s="1603" t="s">
        <v>469</v>
      </c>
      <c r="C5" s="588" t="s">
        <v>57</v>
      </c>
      <c r="D5" s="1585" t="s">
        <v>58</v>
      </c>
      <c r="E5" s="1586"/>
      <c r="F5" s="1586"/>
      <c r="G5" s="1584"/>
      <c r="H5" s="1175"/>
      <c r="I5" s="1175"/>
      <c r="J5" s="1585" t="s">
        <v>59</v>
      </c>
      <c r="K5" s="1586"/>
      <c r="L5" s="1586"/>
      <c r="M5" s="1584"/>
      <c r="N5" s="1175"/>
      <c r="O5" s="1175"/>
      <c r="P5" s="1585" t="s">
        <v>591</v>
      </c>
      <c r="Q5" s="1586"/>
      <c r="R5" s="1586"/>
      <c r="S5" s="1584"/>
      <c r="T5" s="1175"/>
      <c r="U5" s="1175"/>
      <c r="V5" s="1585" t="s">
        <v>470</v>
      </c>
      <c r="W5" s="1584"/>
      <c r="X5" s="1175"/>
      <c r="Y5" s="1175"/>
      <c r="Z5" s="1583" t="s">
        <v>471</v>
      </c>
      <c r="AA5" s="1584"/>
      <c r="AB5" s="1175"/>
      <c r="AC5" s="1175"/>
      <c r="AD5" s="1583" t="s">
        <v>472</v>
      </c>
      <c r="AE5" s="1584"/>
      <c r="AF5" s="1583" t="s">
        <v>592</v>
      </c>
      <c r="AG5" s="1597"/>
      <c r="AH5" s="1597"/>
      <c r="AI5" s="1584"/>
      <c r="AJ5" s="1175"/>
      <c r="AK5" s="1175"/>
      <c r="AL5" s="1579" t="s">
        <v>600</v>
      </c>
      <c r="AM5" s="1580"/>
      <c r="AN5" s="1580"/>
    </row>
    <row r="6" spans="1:42" ht="12.75" customHeight="1" x14ac:dyDescent="0.2">
      <c r="A6" s="590"/>
      <c r="B6" s="1604"/>
      <c r="C6" s="589"/>
      <c r="D6" s="1579" t="s">
        <v>1137</v>
      </c>
      <c r="E6" s="1580"/>
      <c r="F6" s="1580"/>
      <c r="G6" s="1580"/>
      <c r="H6" s="1580"/>
      <c r="I6" s="1580"/>
      <c r="J6" s="1580"/>
      <c r="K6" s="1580"/>
      <c r="L6" s="1580"/>
      <c r="M6" s="1580"/>
      <c r="N6" s="1580"/>
      <c r="O6" s="1580"/>
      <c r="P6" s="1580"/>
      <c r="Q6" s="1580"/>
      <c r="R6" s="1580"/>
      <c r="S6" s="1580"/>
      <c r="T6" s="1580"/>
      <c r="U6" s="1580"/>
      <c r="V6" s="1580"/>
      <c r="W6" s="1580"/>
      <c r="X6" s="1580"/>
      <c r="Y6" s="1580"/>
      <c r="Z6" s="1580"/>
      <c r="AA6" s="1580"/>
      <c r="AB6" s="1580"/>
      <c r="AC6" s="1580"/>
      <c r="AD6" s="1580"/>
      <c r="AE6" s="1580"/>
      <c r="AF6" s="1580"/>
      <c r="AG6" s="1580"/>
      <c r="AH6" s="1580"/>
      <c r="AI6" s="1580"/>
      <c r="AJ6" s="1580"/>
      <c r="AK6" s="1580"/>
      <c r="AL6" s="1580"/>
      <c r="AM6" s="1580"/>
      <c r="AN6" s="1580"/>
    </row>
    <row r="7" spans="1:42" ht="24.95" customHeight="1" x14ac:dyDescent="0.2">
      <c r="A7" s="590"/>
      <c r="B7" s="1604"/>
      <c r="C7" s="1613" t="s">
        <v>85</v>
      </c>
      <c r="D7" s="1587" t="s">
        <v>451</v>
      </c>
      <c r="E7" s="1588"/>
      <c r="F7" s="1588"/>
      <c r="G7" s="1588"/>
      <c r="H7" s="1588"/>
      <c r="I7" s="1589"/>
      <c r="J7" s="1593" t="s">
        <v>21</v>
      </c>
      <c r="K7" s="1588"/>
      <c r="L7" s="1588"/>
      <c r="M7" s="1588"/>
      <c r="N7" s="1588"/>
      <c r="O7" s="1589"/>
      <c r="P7" s="1588" t="s">
        <v>449</v>
      </c>
      <c r="Q7" s="1588"/>
      <c r="R7" s="1588"/>
      <c r="S7" s="1588"/>
      <c r="T7" s="1588"/>
      <c r="U7" s="1589"/>
      <c r="V7" s="1588" t="s">
        <v>459</v>
      </c>
      <c r="W7" s="1588"/>
      <c r="X7" s="1588"/>
      <c r="Y7" s="1589"/>
      <c r="Z7" s="1588" t="s">
        <v>458</v>
      </c>
      <c r="AA7" s="1588"/>
      <c r="AB7" s="1588"/>
      <c r="AC7" s="1589"/>
      <c r="AD7" s="1605" t="s">
        <v>266</v>
      </c>
      <c r="AE7" s="1606"/>
      <c r="AF7" s="1588" t="s">
        <v>450</v>
      </c>
      <c r="AG7" s="1588"/>
      <c r="AH7" s="1588"/>
      <c r="AI7" s="1588"/>
      <c r="AJ7" s="1588"/>
      <c r="AK7" s="1589"/>
      <c r="AL7" s="1609" t="s">
        <v>529</v>
      </c>
      <c r="AM7" s="1404" t="s">
        <v>1410</v>
      </c>
      <c r="AN7" s="1577" t="s">
        <v>1411</v>
      </c>
    </row>
    <row r="8" spans="1:42" ht="26.25" customHeight="1" x14ac:dyDescent="0.2">
      <c r="A8" s="590"/>
      <c r="B8" s="1604"/>
      <c r="C8" s="1614"/>
      <c r="D8" s="1590"/>
      <c r="E8" s="1591"/>
      <c r="F8" s="1591"/>
      <c r="G8" s="1591"/>
      <c r="H8" s="1591"/>
      <c r="I8" s="1592"/>
      <c r="J8" s="1594"/>
      <c r="K8" s="1591"/>
      <c r="L8" s="1591"/>
      <c r="M8" s="1591"/>
      <c r="N8" s="1591"/>
      <c r="O8" s="1592"/>
      <c r="P8" s="1591"/>
      <c r="Q8" s="1591"/>
      <c r="R8" s="1591"/>
      <c r="S8" s="1591"/>
      <c r="T8" s="1591"/>
      <c r="U8" s="1592"/>
      <c r="V8" s="1591"/>
      <c r="W8" s="1591"/>
      <c r="X8" s="1591"/>
      <c r="Y8" s="1592"/>
      <c r="Z8" s="1591"/>
      <c r="AA8" s="1591"/>
      <c r="AB8" s="1591"/>
      <c r="AC8" s="1592"/>
      <c r="AD8" s="1607"/>
      <c r="AE8" s="1608"/>
      <c r="AF8" s="1595"/>
      <c r="AG8" s="1595"/>
      <c r="AH8" s="1595"/>
      <c r="AI8" s="1595"/>
      <c r="AJ8" s="1595"/>
      <c r="AK8" s="1596"/>
      <c r="AL8" s="1610"/>
      <c r="AM8" s="1404"/>
      <c r="AN8" s="1577"/>
    </row>
    <row r="9" spans="1:42" s="191" customFormat="1" ht="40.9" customHeight="1" x14ac:dyDescent="0.15">
      <c r="A9" s="591"/>
      <c r="B9" s="1604"/>
      <c r="C9" s="1611"/>
      <c r="D9" s="1179" t="s">
        <v>62</v>
      </c>
      <c r="E9" s="1180" t="s">
        <v>1410</v>
      </c>
      <c r="F9" s="1181" t="s">
        <v>1408</v>
      </c>
      <c r="G9" s="1182" t="s">
        <v>63</v>
      </c>
      <c r="H9" s="1180" t="s">
        <v>1410</v>
      </c>
      <c r="I9" s="1183" t="s">
        <v>1409</v>
      </c>
      <c r="J9" s="1179" t="s">
        <v>62</v>
      </c>
      <c r="K9" s="1180" t="s">
        <v>1410</v>
      </c>
      <c r="L9" s="1181" t="s">
        <v>1408</v>
      </c>
      <c r="M9" s="1182" t="s">
        <v>63</v>
      </c>
      <c r="N9" s="1180" t="s">
        <v>1410</v>
      </c>
      <c r="O9" s="1183" t="s">
        <v>1409</v>
      </c>
      <c r="P9" s="1179" t="s">
        <v>62</v>
      </c>
      <c r="Q9" s="1180" t="s">
        <v>1410</v>
      </c>
      <c r="R9" s="1181" t="s">
        <v>1408</v>
      </c>
      <c r="S9" s="1184" t="s">
        <v>63</v>
      </c>
      <c r="T9" s="1180" t="s">
        <v>1410</v>
      </c>
      <c r="U9" s="1183" t="s">
        <v>1409</v>
      </c>
      <c r="V9" s="1231" t="s">
        <v>62</v>
      </c>
      <c r="W9" s="1179" t="s">
        <v>63</v>
      </c>
      <c r="X9" s="1180" t="s">
        <v>1410</v>
      </c>
      <c r="Y9" s="1183" t="s">
        <v>1409</v>
      </c>
      <c r="Z9" s="1186" t="s">
        <v>62</v>
      </c>
      <c r="AA9" s="1182" t="s">
        <v>63</v>
      </c>
      <c r="AB9" s="1180" t="s">
        <v>1410</v>
      </c>
      <c r="AC9" s="1183" t="s">
        <v>1409</v>
      </c>
      <c r="AD9" s="1179" t="s">
        <v>62</v>
      </c>
      <c r="AE9" s="1230" t="s">
        <v>63</v>
      </c>
      <c r="AF9" s="1179" t="s">
        <v>62</v>
      </c>
      <c r="AG9" s="1180" t="s">
        <v>1410</v>
      </c>
      <c r="AH9" s="1181" t="s">
        <v>1408</v>
      </c>
      <c r="AI9" s="1185" t="s">
        <v>63</v>
      </c>
      <c r="AJ9" s="1180" t="s">
        <v>1410</v>
      </c>
      <c r="AK9" s="1183" t="s">
        <v>1409</v>
      </c>
      <c r="AL9" s="1611"/>
      <c r="AM9" s="1576"/>
      <c r="AN9" s="1578"/>
      <c r="AO9" s="250"/>
      <c r="AP9" s="250"/>
    </row>
    <row r="10" spans="1:42" s="191" customFormat="1" ht="15" customHeight="1" x14ac:dyDescent="0.2">
      <c r="A10" s="1177"/>
      <c r="B10" s="1187" t="s">
        <v>479</v>
      </c>
      <c r="C10" s="1188" t="s">
        <v>981</v>
      </c>
      <c r="D10" s="1189">
        <v>0</v>
      </c>
      <c r="E10" s="1189"/>
      <c r="F10" s="1234"/>
      <c r="G10" s="1223"/>
      <c r="H10" s="1189"/>
      <c r="I10" s="1189"/>
      <c r="J10" s="1189">
        <v>0</v>
      </c>
      <c r="K10" s="1189"/>
      <c r="L10" s="1234"/>
      <c r="M10" s="1223"/>
      <c r="N10" s="1189"/>
      <c r="O10" s="1212"/>
      <c r="P10" s="1224">
        <v>40</v>
      </c>
      <c r="Q10" s="1190"/>
      <c r="R10" s="1235"/>
      <c r="S10" s="1223"/>
      <c r="T10" s="1189"/>
      <c r="U10" s="1212"/>
      <c r="V10" s="1243"/>
      <c r="W10" s="1223"/>
      <c r="X10" s="1189"/>
      <c r="Y10" s="1212"/>
      <c r="Z10" s="1244"/>
      <c r="AA10" s="1223"/>
      <c r="AB10" s="1189"/>
      <c r="AC10" s="1212"/>
      <c r="AD10" s="1223"/>
      <c r="AE10" s="1212"/>
      <c r="AF10" s="1223"/>
      <c r="AG10" s="1189"/>
      <c r="AH10" s="1234"/>
      <c r="AI10" s="1223"/>
      <c r="AJ10" s="1189"/>
      <c r="AK10" s="1212"/>
      <c r="AL10" s="1211">
        <f t="shared" ref="AL10:AL42" si="0">SUM(D10:AI10)</f>
        <v>40</v>
      </c>
      <c r="AM10" s="1191"/>
      <c r="AN10" s="1192"/>
      <c r="AO10" s="250"/>
      <c r="AP10" s="250"/>
    </row>
    <row r="11" spans="1:42" s="191" customFormat="1" ht="23.25" customHeight="1" x14ac:dyDescent="0.2">
      <c r="A11" s="1177"/>
      <c r="B11" s="1187" t="s">
        <v>487</v>
      </c>
      <c r="C11" s="1188" t="s">
        <v>980</v>
      </c>
      <c r="D11" s="1190">
        <v>4098</v>
      </c>
      <c r="E11" s="1190"/>
      <c r="F11" s="1235"/>
      <c r="G11" s="1224"/>
      <c r="H11" s="1190"/>
      <c r="I11" s="1213"/>
      <c r="J11" s="1224">
        <v>902</v>
      </c>
      <c r="K11" s="1190"/>
      <c r="L11" s="1235"/>
      <c r="M11" s="1223"/>
      <c r="N11" s="1189"/>
      <c r="O11" s="1212"/>
      <c r="P11" s="1224">
        <v>26740</v>
      </c>
      <c r="Q11" s="1190"/>
      <c r="R11" s="1235"/>
      <c r="S11" s="1223"/>
      <c r="T11" s="1189"/>
      <c r="U11" s="1212"/>
      <c r="V11" s="1244"/>
      <c r="W11" s="1223"/>
      <c r="X11" s="1189"/>
      <c r="Y11" s="1212"/>
      <c r="Z11" s="1244"/>
      <c r="AA11" s="1223"/>
      <c r="AB11" s="1189"/>
      <c r="AC11" s="1212"/>
      <c r="AD11" s="1223"/>
      <c r="AE11" s="1212"/>
      <c r="AF11" s="1223"/>
      <c r="AG11" s="1189"/>
      <c r="AH11" s="1234"/>
      <c r="AI11" s="1223"/>
      <c r="AJ11" s="1189"/>
      <c r="AK11" s="1212"/>
      <c r="AL11" s="1211">
        <f t="shared" si="0"/>
        <v>31740</v>
      </c>
      <c r="AM11" s="1191"/>
      <c r="AN11" s="1192"/>
      <c r="AO11" s="250"/>
      <c r="AP11" s="250"/>
    </row>
    <row r="12" spans="1:42" s="191" customFormat="1" ht="20.25" customHeight="1" x14ac:dyDescent="0.2">
      <c r="A12" s="1177"/>
      <c r="B12" s="1187" t="s">
        <v>488</v>
      </c>
      <c r="C12" s="1188" t="s">
        <v>1229</v>
      </c>
      <c r="D12" s="1190"/>
      <c r="E12" s="1190"/>
      <c r="F12" s="1235"/>
      <c r="G12" s="1224"/>
      <c r="H12" s="1190"/>
      <c r="I12" s="1213"/>
      <c r="J12" s="1224"/>
      <c r="K12" s="1190"/>
      <c r="L12" s="1235"/>
      <c r="M12" s="1223"/>
      <c r="N12" s="1189"/>
      <c r="O12" s="1212"/>
      <c r="P12" s="1224">
        <v>17665</v>
      </c>
      <c r="Q12" s="1190"/>
      <c r="R12" s="1235"/>
      <c r="S12" s="1223"/>
      <c r="T12" s="1189"/>
      <c r="U12" s="1212"/>
      <c r="V12" s="1244"/>
      <c r="W12" s="1223"/>
      <c r="X12" s="1189"/>
      <c r="Y12" s="1212"/>
      <c r="Z12" s="1244"/>
      <c r="AA12" s="1223"/>
      <c r="AB12" s="1189"/>
      <c r="AC12" s="1212"/>
      <c r="AD12" s="1223"/>
      <c r="AE12" s="1212"/>
      <c r="AF12" s="1223"/>
      <c r="AG12" s="1189"/>
      <c r="AH12" s="1234"/>
      <c r="AI12" s="1223"/>
      <c r="AJ12" s="1189"/>
      <c r="AK12" s="1212"/>
      <c r="AL12" s="1211">
        <f t="shared" si="0"/>
        <v>17665</v>
      </c>
      <c r="AM12" s="1191"/>
      <c r="AN12" s="1192"/>
      <c r="AO12" s="250"/>
      <c r="AP12" s="250"/>
    </row>
    <row r="13" spans="1:42" s="247" customFormat="1" ht="13.5" customHeight="1" x14ac:dyDescent="0.2">
      <c r="A13" s="775"/>
      <c r="B13" s="1187" t="s">
        <v>489</v>
      </c>
      <c r="C13" s="1193" t="s">
        <v>986</v>
      </c>
      <c r="D13" s="1194"/>
      <c r="E13" s="1194"/>
      <c r="F13" s="1236"/>
      <c r="G13" s="1223"/>
      <c r="H13" s="1189"/>
      <c r="I13" s="1212"/>
      <c r="J13" s="1223"/>
      <c r="K13" s="1189"/>
      <c r="L13" s="1234"/>
      <c r="M13" s="1223"/>
      <c r="N13" s="1189"/>
      <c r="O13" s="1212"/>
      <c r="P13" s="1232"/>
      <c r="Q13" s="1195"/>
      <c r="R13" s="1241"/>
      <c r="S13" s="1227">
        <v>5000</v>
      </c>
      <c r="T13" s="1019"/>
      <c r="U13" s="1218"/>
      <c r="V13" s="1245"/>
      <c r="W13" s="1223"/>
      <c r="X13" s="1189"/>
      <c r="Y13" s="1212"/>
      <c r="Z13" s="1244"/>
      <c r="AA13" s="1223"/>
      <c r="AB13" s="1189"/>
      <c r="AC13" s="1212"/>
      <c r="AD13" s="1223"/>
      <c r="AE13" s="1212"/>
      <c r="AF13" s="1223"/>
      <c r="AG13" s="1189"/>
      <c r="AH13" s="1234"/>
      <c r="AI13" s="1223"/>
      <c r="AJ13" s="1189"/>
      <c r="AK13" s="1212"/>
      <c r="AL13" s="1211">
        <f t="shared" si="0"/>
        <v>5000</v>
      </c>
      <c r="AM13" s="791"/>
      <c r="AN13" s="1196"/>
      <c r="AO13" s="248"/>
      <c r="AP13" s="248"/>
    </row>
    <row r="14" spans="1:42" s="247" customFormat="1" ht="17.25" customHeight="1" x14ac:dyDescent="0.2">
      <c r="A14" s="775"/>
      <c r="B14" s="1187" t="s">
        <v>490</v>
      </c>
      <c r="C14" s="1188" t="s">
        <v>979</v>
      </c>
      <c r="D14" s="1194"/>
      <c r="E14" s="1194"/>
      <c r="F14" s="1236"/>
      <c r="G14" s="1223"/>
      <c r="H14" s="1189"/>
      <c r="I14" s="1212"/>
      <c r="J14" s="1223"/>
      <c r="K14" s="1189"/>
      <c r="L14" s="1234"/>
      <c r="M14" s="1223"/>
      <c r="N14" s="1189"/>
      <c r="O14" s="1212"/>
      <c r="P14" s="1232">
        <v>1969</v>
      </c>
      <c r="Q14" s="1195"/>
      <c r="R14" s="1241"/>
      <c r="S14" s="1225"/>
      <c r="T14" s="792"/>
      <c r="U14" s="1216"/>
      <c r="V14" s="1245"/>
      <c r="W14" s="1223"/>
      <c r="X14" s="1189"/>
      <c r="Y14" s="1212"/>
      <c r="Z14" s="1244"/>
      <c r="AA14" s="1223"/>
      <c r="AB14" s="1189"/>
      <c r="AC14" s="1212"/>
      <c r="AD14" s="1223"/>
      <c r="AE14" s="1212"/>
      <c r="AF14" s="1223"/>
      <c r="AG14" s="1189"/>
      <c r="AH14" s="1234"/>
      <c r="AI14" s="1223"/>
      <c r="AJ14" s="1189"/>
      <c r="AK14" s="1212"/>
      <c r="AL14" s="1211">
        <f t="shared" si="0"/>
        <v>1969</v>
      </c>
      <c r="AM14" s="1191"/>
      <c r="AN14" s="1192"/>
      <c r="AO14" s="248"/>
      <c r="AP14" s="248"/>
    </row>
    <row r="15" spans="1:42" s="247" customFormat="1" ht="16.5" customHeight="1" x14ac:dyDescent="0.2">
      <c r="A15" s="775"/>
      <c r="B15" s="1187" t="s">
        <v>491</v>
      </c>
      <c r="C15" s="1188" t="s">
        <v>1091</v>
      </c>
      <c r="D15" s="1194"/>
      <c r="E15" s="1194"/>
      <c r="F15" s="1236"/>
      <c r="G15" s="1223"/>
      <c r="H15" s="1189"/>
      <c r="I15" s="1212"/>
      <c r="J15" s="1223"/>
      <c r="K15" s="1189"/>
      <c r="L15" s="1234"/>
      <c r="M15" s="1223"/>
      <c r="N15" s="1189"/>
      <c r="O15" s="1212"/>
      <c r="P15" s="1232"/>
      <c r="Q15" s="1195"/>
      <c r="R15" s="1241"/>
      <c r="S15" s="1227"/>
      <c r="T15" s="1019"/>
      <c r="U15" s="1218"/>
      <c r="V15" s="1245"/>
      <c r="W15" s="1223"/>
      <c r="X15" s="1189"/>
      <c r="Y15" s="1212"/>
      <c r="Z15" s="1244"/>
      <c r="AA15" s="1223"/>
      <c r="AB15" s="1189"/>
      <c r="AC15" s="1212"/>
      <c r="AD15" s="1223"/>
      <c r="AE15" s="1212"/>
      <c r="AF15" s="1223"/>
      <c r="AG15" s="1189"/>
      <c r="AH15" s="1234"/>
      <c r="AI15" s="1224">
        <f>'ellátottak önk.'!F13</f>
        <v>500</v>
      </c>
      <c r="AJ15" s="1190"/>
      <c r="AK15" s="1213"/>
      <c r="AL15" s="1211">
        <f t="shared" si="0"/>
        <v>500</v>
      </c>
      <c r="AM15" s="1196"/>
      <c r="AN15" s="1196"/>
      <c r="AO15" s="248"/>
      <c r="AP15" s="248"/>
    </row>
    <row r="16" spans="1:42" s="247" customFormat="1" ht="16.5" customHeight="1" x14ac:dyDescent="0.2">
      <c r="A16" s="775"/>
      <c r="B16" s="1187" t="s">
        <v>492</v>
      </c>
      <c r="C16" s="1188" t="s">
        <v>1090</v>
      </c>
      <c r="D16" s="1194"/>
      <c r="E16" s="1194"/>
      <c r="F16" s="1236"/>
      <c r="G16" s="1223"/>
      <c r="H16" s="1189"/>
      <c r="I16" s="1212"/>
      <c r="J16" s="1223"/>
      <c r="K16" s="1189"/>
      <c r="L16" s="1234"/>
      <c r="M16" s="1223"/>
      <c r="N16" s="1189"/>
      <c r="O16" s="1212"/>
      <c r="P16" s="1232"/>
      <c r="Q16" s="1195"/>
      <c r="R16" s="1241"/>
      <c r="S16" s="1227"/>
      <c r="T16" s="1019"/>
      <c r="U16" s="1218"/>
      <c r="V16" s="1245"/>
      <c r="W16" s="1223"/>
      <c r="X16" s="1189"/>
      <c r="Y16" s="1212"/>
      <c r="Z16" s="1244"/>
      <c r="AA16" s="1223"/>
      <c r="AB16" s="1189"/>
      <c r="AC16" s="1212"/>
      <c r="AD16" s="1223"/>
      <c r="AE16" s="1212"/>
      <c r="AF16" s="1223"/>
      <c r="AG16" s="1189"/>
      <c r="AH16" s="1234"/>
      <c r="AI16" s="1224">
        <v>600</v>
      </c>
      <c r="AJ16" s="1190"/>
      <c r="AK16" s="1213"/>
      <c r="AL16" s="1211">
        <f t="shared" si="0"/>
        <v>600</v>
      </c>
      <c r="AM16" s="1196"/>
      <c r="AN16" s="1196"/>
      <c r="AO16" s="248"/>
      <c r="AP16" s="248"/>
    </row>
    <row r="17" spans="1:42" s="247" customFormat="1" ht="16.5" customHeight="1" x14ac:dyDescent="0.2">
      <c r="A17" s="775"/>
      <c r="B17" s="1187" t="s">
        <v>493</v>
      </c>
      <c r="C17" s="1188" t="s">
        <v>1092</v>
      </c>
      <c r="D17" s="1194"/>
      <c r="E17" s="1194"/>
      <c r="F17" s="1236"/>
      <c r="G17" s="1223"/>
      <c r="H17" s="1189"/>
      <c r="I17" s="1212"/>
      <c r="J17" s="1223"/>
      <c r="K17" s="1189"/>
      <c r="L17" s="1234"/>
      <c r="M17" s="1223"/>
      <c r="N17" s="1189"/>
      <c r="O17" s="1212"/>
      <c r="P17" s="1232"/>
      <c r="Q17" s="1195"/>
      <c r="R17" s="1241"/>
      <c r="S17" s="1227"/>
      <c r="T17" s="1019"/>
      <c r="U17" s="1218"/>
      <c r="V17" s="1245"/>
      <c r="W17" s="1223"/>
      <c r="X17" s="1189"/>
      <c r="Y17" s="1212"/>
      <c r="Z17" s="1244"/>
      <c r="AA17" s="1223"/>
      <c r="AB17" s="1189"/>
      <c r="AC17" s="1212"/>
      <c r="AD17" s="1223"/>
      <c r="AE17" s="1212"/>
      <c r="AF17" s="1223"/>
      <c r="AG17" s="1189"/>
      <c r="AH17" s="1234"/>
      <c r="AI17" s="1224">
        <v>800</v>
      </c>
      <c r="AJ17" s="1190"/>
      <c r="AK17" s="1213"/>
      <c r="AL17" s="1211">
        <f t="shared" si="0"/>
        <v>800</v>
      </c>
      <c r="AM17" s="1196"/>
      <c r="AN17" s="1196"/>
      <c r="AO17" s="248"/>
      <c r="AP17" s="248"/>
    </row>
    <row r="18" spans="1:42" s="247" customFormat="1" ht="15.75" customHeight="1" x14ac:dyDescent="0.2">
      <c r="A18" s="775"/>
      <c r="B18" s="1187" t="s">
        <v>494</v>
      </c>
      <c r="C18" s="1188" t="s">
        <v>1093</v>
      </c>
      <c r="D18" s="1194"/>
      <c r="E18" s="1194"/>
      <c r="F18" s="1236"/>
      <c r="G18" s="1223"/>
      <c r="H18" s="1189"/>
      <c r="I18" s="1212"/>
      <c r="J18" s="1223"/>
      <c r="K18" s="1189"/>
      <c r="L18" s="1234"/>
      <c r="M18" s="1223"/>
      <c r="N18" s="1189"/>
      <c r="O18" s="1212"/>
      <c r="P18" s="1232"/>
      <c r="Q18" s="1195"/>
      <c r="R18" s="1241"/>
      <c r="S18" s="1227"/>
      <c r="T18" s="1019"/>
      <c r="U18" s="1218"/>
      <c r="V18" s="1245"/>
      <c r="W18" s="1223"/>
      <c r="X18" s="1189"/>
      <c r="Y18" s="1212"/>
      <c r="Z18" s="1244"/>
      <c r="AA18" s="1223"/>
      <c r="AB18" s="1189"/>
      <c r="AC18" s="1212"/>
      <c r="AD18" s="1223"/>
      <c r="AE18" s="1212"/>
      <c r="AF18" s="1223"/>
      <c r="AG18" s="1189"/>
      <c r="AH18" s="1234"/>
      <c r="AI18" s="1224">
        <v>1000</v>
      </c>
      <c r="AJ18" s="1190"/>
      <c r="AK18" s="1213"/>
      <c r="AL18" s="1211">
        <f t="shared" si="0"/>
        <v>1000</v>
      </c>
      <c r="AM18" s="1196"/>
      <c r="AN18" s="1196"/>
      <c r="AO18" s="248"/>
      <c r="AP18" s="248"/>
    </row>
    <row r="19" spans="1:42" s="247" customFormat="1" ht="13.5" customHeight="1" x14ac:dyDescent="0.2">
      <c r="A19" s="775"/>
      <c r="B19" s="1187" t="s">
        <v>530</v>
      </c>
      <c r="C19" s="1188" t="s">
        <v>1094</v>
      </c>
      <c r="D19" s="1194"/>
      <c r="E19" s="1194"/>
      <c r="F19" s="1236"/>
      <c r="G19" s="1223"/>
      <c r="H19" s="1189"/>
      <c r="I19" s="1212"/>
      <c r="J19" s="1223"/>
      <c r="K19" s="1189"/>
      <c r="L19" s="1234"/>
      <c r="M19" s="1223"/>
      <c r="N19" s="1189"/>
      <c r="O19" s="1212"/>
      <c r="P19" s="1232"/>
      <c r="Q19" s="1195"/>
      <c r="R19" s="1241"/>
      <c r="S19" s="1227"/>
      <c r="T19" s="1019"/>
      <c r="U19" s="1218"/>
      <c r="V19" s="1245"/>
      <c r="W19" s="1223"/>
      <c r="X19" s="1189"/>
      <c r="Y19" s="1212"/>
      <c r="Z19" s="1244"/>
      <c r="AA19" s="1223"/>
      <c r="AB19" s="1189"/>
      <c r="AC19" s="1212"/>
      <c r="AD19" s="1223"/>
      <c r="AE19" s="1212"/>
      <c r="AF19" s="1223"/>
      <c r="AG19" s="1189"/>
      <c r="AH19" s="1234"/>
      <c r="AI19" s="1224">
        <v>600</v>
      </c>
      <c r="AJ19" s="1190"/>
      <c r="AK19" s="1213"/>
      <c r="AL19" s="1211">
        <f t="shared" si="0"/>
        <v>600</v>
      </c>
      <c r="AM19" s="1196"/>
      <c r="AN19" s="1196"/>
      <c r="AO19" s="248"/>
      <c r="AP19" s="248"/>
    </row>
    <row r="20" spans="1:42" s="247" customFormat="1" ht="13.5" customHeight="1" x14ac:dyDescent="0.2">
      <c r="A20" s="775"/>
      <c r="B20" s="1187" t="s">
        <v>531</v>
      </c>
      <c r="C20" s="1188" t="s">
        <v>1095</v>
      </c>
      <c r="D20" s="1194"/>
      <c r="E20" s="1194"/>
      <c r="F20" s="1236"/>
      <c r="G20" s="1223"/>
      <c r="H20" s="1189"/>
      <c r="I20" s="1212"/>
      <c r="J20" s="1223"/>
      <c r="K20" s="1189"/>
      <c r="L20" s="1234"/>
      <c r="M20" s="1223"/>
      <c r="N20" s="1189"/>
      <c r="O20" s="1212"/>
      <c r="P20" s="1232"/>
      <c r="Q20" s="1195"/>
      <c r="R20" s="1241"/>
      <c r="S20" s="1227"/>
      <c r="T20" s="1019"/>
      <c r="U20" s="1218"/>
      <c r="V20" s="1245"/>
      <c r="W20" s="1223"/>
      <c r="X20" s="1189"/>
      <c r="Y20" s="1212"/>
      <c r="Z20" s="1244"/>
      <c r="AA20" s="1223"/>
      <c r="AB20" s="1189"/>
      <c r="AC20" s="1212"/>
      <c r="AD20" s="1223"/>
      <c r="AE20" s="1212"/>
      <c r="AF20" s="1224">
        <v>2300</v>
      </c>
      <c r="AG20" s="1190"/>
      <c r="AH20" s="1235"/>
      <c r="AI20" s="1224"/>
      <c r="AJ20" s="1190"/>
      <c r="AK20" s="1213"/>
      <c r="AL20" s="1211">
        <f t="shared" si="0"/>
        <v>2300</v>
      </c>
      <c r="AM20" s="1196"/>
      <c r="AN20" s="1196"/>
      <c r="AO20" s="248"/>
      <c r="AP20" s="248"/>
    </row>
    <row r="21" spans="1:42" s="247" customFormat="1" ht="12" customHeight="1" x14ac:dyDescent="0.2">
      <c r="A21" s="775"/>
      <c r="B21" s="1187" t="s">
        <v>532</v>
      </c>
      <c r="C21" s="1188" t="s">
        <v>1334</v>
      </c>
      <c r="D21" s="1194"/>
      <c r="E21" s="1194"/>
      <c r="F21" s="1236"/>
      <c r="G21" s="1223"/>
      <c r="H21" s="1189"/>
      <c r="I21" s="1212"/>
      <c r="J21" s="1223"/>
      <c r="K21" s="1189"/>
      <c r="L21" s="1234"/>
      <c r="M21" s="1223"/>
      <c r="N21" s="1189"/>
      <c r="O21" s="1212"/>
      <c r="P21" s="1232"/>
      <c r="Q21" s="1195"/>
      <c r="R21" s="1241"/>
      <c r="S21" s="1227"/>
      <c r="T21" s="1019"/>
      <c r="U21" s="1218"/>
      <c r="V21" s="1245"/>
      <c r="W21" s="1223"/>
      <c r="X21" s="1189"/>
      <c r="Y21" s="1212"/>
      <c r="Z21" s="1244"/>
      <c r="AA21" s="1223"/>
      <c r="AB21" s="1189"/>
      <c r="AC21" s="1212"/>
      <c r="AD21" s="1223"/>
      <c r="AE21" s="1212"/>
      <c r="AF21" s="1223"/>
      <c r="AG21" s="1189"/>
      <c r="AH21" s="1234"/>
      <c r="AI21" s="1224">
        <f>'ellátottak önk.'!F22</f>
        <v>1100</v>
      </c>
      <c r="AJ21" s="1190"/>
      <c r="AK21" s="1213"/>
      <c r="AL21" s="1211">
        <f t="shared" si="0"/>
        <v>1100</v>
      </c>
      <c r="AM21" s="1196"/>
      <c r="AN21" s="1196"/>
      <c r="AO21" s="248"/>
      <c r="AP21" s="248"/>
    </row>
    <row r="22" spans="1:42" s="247" customFormat="1" ht="15" customHeight="1" x14ac:dyDescent="0.2">
      <c r="A22" s="775"/>
      <c r="B22" s="1187" t="s">
        <v>533</v>
      </c>
      <c r="C22" s="1188" t="s">
        <v>1335</v>
      </c>
      <c r="D22" s="1194"/>
      <c r="E22" s="1194"/>
      <c r="F22" s="1236"/>
      <c r="G22" s="1223"/>
      <c r="H22" s="1189"/>
      <c r="I22" s="1212"/>
      <c r="J22" s="1223"/>
      <c r="K22" s="1189"/>
      <c r="L22" s="1234"/>
      <c r="M22" s="1223"/>
      <c r="N22" s="1189"/>
      <c r="O22" s="1212"/>
      <c r="P22" s="1232"/>
      <c r="Q22" s="1195"/>
      <c r="R22" s="1241"/>
      <c r="S22" s="1227"/>
      <c r="T22" s="1019"/>
      <c r="U22" s="1218"/>
      <c r="V22" s="1245"/>
      <c r="W22" s="1223"/>
      <c r="X22" s="1189"/>
      <c r="Y22" s="1212"/>
      <c r="Z22" s="1244"/>
      <c r="AA22" s="1223"/>
      <c r="AB22" s="1189"/>
      <c r="AC22" s="1212"/>
      <c r="AD22" s="1223"/>
      <c r="AE22" s="1212"/>
      <c r="AF22" s="1223"/>
      <c r="AG22" s="1189"/>
      <c r="AH22" s="1234"/>
      <c r="AI22" s="1224">
        <f>'ellátottak önk.'!F21</f>
        <v>1800</v>
      </c>
      <c r="AJ22" s="1190"/>
      <c r="AK22" s="1213"/>
      <c r="AL22" s="1211">
        <f t="shared" si="0"/>
        <v>1800</v>
      </c>
      <c r="AM22" s="1196"/>
      <c r="AN22" s="1196"/>
      <c r="AO22" s="248"/>
      <c r="AP22" s="248"/>
    </row>
    <row r="23" spans="1:42" s="247" customFormat="1" ht="13.5" customHeight="1" x14ac:dyDescent="0.2">
      <c r="A23" s="775"/>
      <c r="B23" s="1187" t="s">
        <v>534</v>
      </c>
      <c r="C23" s="1188" t="s">
        <v>1096</v>
      </c>
      <c r="D23" s="1194"/>
      <c r="E23" s="1194"/>
      <c r="F23" s="1236"/>
      <c r="G23" s="1223"/>
      <c r="H23" s="1189"/>
      <c r="I23" s="1212"/>
      <c r="J23" s="1223"/>
      <c r="K23" s="1189"/>
      <c r="L23" s="1234"/>
      <c r="M23" s="1223"/>
      <c r="N23" s="1189"/>
      <c r="O23" s="1212"/>
      <c r="P23" s="1232">
        <v>111</v>
      </c>
      <c r="Q23" s="1195"/>
      <c r="R23" s="1241"/>
      <c r="S23" s="1227"/>
      <c r="T23" s="1019"/>
      <c r="U23" s="1218"/>
      <c r="V23" s="1245"/>
      <c r="W23" s="1223"/>
      <c r="X23" s="1189"/>
      <c r="Y23" s="1212"/>
      <c r="Z23" s="1244"/>
      <c r="AA23" s="1223"/>
      <c r="AB23" s="1189"/>
      <c r="AC23" s="1212"/>
      <c r="AD23" s="1223"/>
      <c r="AE23" s="1212"/>
      <c r="AF23" s="1224">
        <v>389</v>
      </c>
      <c r="AG23" s="1190"/>
      <c r="AH23" s="1235"/>
      <c r="AI23" s="1224">
        <f>'ellátottak önk.'!F20</f>
        <v>0</v>
      </c>
      <c r="AJ23" s="1190"/>
      <c r="AK23" s="1213"/>
      <c r="AL23" s="1211">
        <f t="shared" si="0"/>
        <v>500</v>
      </c>
      <c r="AM23" s="1196"/>
      <c r="AN23" s="1196"/>
      <c r="AO23" s="248"/>
      <c r="AP23" s="248"/>
    </row>
    <row r="24" spans="1:42" s="247" customFormat="1" ht="13.5" customHeight="1" x14ac:dyDescent="0.2">
      <c r="A24" s="775"/>
      <c r="B24" s="1187" t="s">
        <v>535</v>
      </c>
      <c r="C24" s="1188" t="s">
        <v>1324</v>
      </c>
      <c r="D24" s="1194"/>
      <c r="E24" s="1194"/>
      <c r="F24" s="1236"/>
      <c r="G24" s="1223"/>
      <c r="H24" s="1189"/>
      <c r="I24" s="1212"/>
      <c r="J24" s="1223"/>
      <c r="K24" s="1189"/>
      <c r="L24" s="1234"/>
      <c r="M24" s="1223"/>
      <c r="N24" s="1189"/>
      <c r="O24" s="1212"/>
      <c r="P24" s="1232"/>
      <c r="Q24" s="1195"/>
      <c r="R24" s="1241"/>
      <c r="S24" s="1227"/>
      <c r="T24" s="1019"/>
      <c r="U24" s="1218"/>
      <c r="V24" s="1245"/>
      <c r="W24" s="1223"/>
      <c r="X24" s="1189"/>
      <c r="Y24" s="1212"/>
      <c r="Z24" s="1244"/>
      <c r="AA24" s="1223"/>
      <c r="AB24" s="1189"/>
      <c r="AC24" s="1212"/>
      <c r="AD24" s="1223"/>
      <c r="AE24" s="1212"/>
      <c r="AF24" s="1224"/>
      <c r="AG24" s="1190"/>
      <c r="AH24" s="1235"/>
      <c r="AI24" s="1224">
        <f>'ellátottak önk.'!F23</f>
        <v>350</v>
      </c>
      <c r="AJ24" s="1190"/>
      <c r="AK24" s="1213"/>
      <c r="AL24" s="1211">
        <f t="shared" si="0"/>
        <v>350</v>
      </c>
      <c r="AM24" s="1196"/>
      <c r="AN24" s="1196"/>
      <c r="AO24" s="248"/>
      <c r="AP24" s="248"/>
    </row>
    <row r="25" spans="1:42" s="247" customFormat="1" ht="13.5" customHeight="1" x14ac:dyDescent="0.2">
      <c r="A25" s="775"/>
      <c r="B25" s="1187" t="s">
        <v>536</v>
      </c>
      <c r="C25" s="1188" t="s">
        <v>988</v>
      </c>
      <c r="D25" s="1194"/>
      <c r="E25" s="1194"/>
      <c r="F25" s="1236"/>
      <c r="G25" s="1223"/>
      <c r="H25" s="1189"/>
      <c r="I25" s="1212"/>
      <c r="J25" s="1223"/>
      <c r="K25" s="1189"/>
      <c r="L25" s="1234"/>
      <c r="M25" s="1223"/>
      <c r="N25" s="1189"/>
      <c r="O25" s="1212"/>
      <c r="P25" s="1232"/>
      <c r="Q25" s="1195"/>
      <c r="R25" s="1241"/>
      <c r="S25" s="1227"/>
      <c r="T25" s="1019"/>
      <c r="U25" s="1218"/>
      <c r="V25" s="1245"/>
      <c r="W25" s="1223"/>
      <c r="X25" s="1189"/>
      <c r="Y25" s="1212"/>
      <c r="Z25" s="1244"/>
      <c r="AA25" s="1223"/>
      <c r="AB25" s="1189"/>
      <c r="AC25" s="1212"/>
      <c r="AD25" s="1223"/>
      <c r="AE25" s="1212"/>
      <c r="AF25" s="1223"/>
      <c r="AG25" s="1189"/>
      <c r="AH25" s="1234"/>
      <c r="AI25" s="1224">
        <f>'ellátottak önk.'!F27</f>
        <v>4200</v>
      </c>
      <c r="AJ25" s="1190"/>
      <c r="AK25" s="1213"/>
      <c r="AL25" s="1211">
        <f t="shared" si="0"/>
        <v>4200</v>
      </c>
      <c r="AM25" s="1196"/>
      <c r="AN25" s="1196"/>
      <c r="AO25" s="248"/>
      <c r="AP25" s="248"/>
    </row>
    <row r="26" spans="1:42" s="247" customFormat="1" ht="12.75" customHeight="1" x14ac:dyDescent="0.2">
      <c r="A26" s="775"/>
      <c r="B26" s="1187" t="s">
        <v>537</v>
      </c>
      <c r="C26" s="1188" t="s">
        <v>1325</v>
      </c>
      <c r="D26" s="1194"/>
      <c r="E26" s="1194"/>
      <c r="F26" s="1236"/>
      <c r="G26" s="1223"/>
      <c r="H26" s="1189"/>
      <c r="I26" s="1212"/>
      <c r="J26" s="1223"/>
      <c r="K26" s="1189"/>
      <c r="L26" s="1234"/>
      <c r="M26" s="1223"/>
      <c r="N26" s="1189"/>
      <c r="O26" s="1212"/>
      <c r="P26" s="1232"/>
      <c r="Q26" s="1195"/>
      <c r="R26" s="1241"/>
      <c r="S26" s="1227">
        <v>400</v>
      </c>
      <c r="T26" s="1019"/>
      <c r="U26" s="1218"/>
      <c r="V26" s="1245"/>
      <c r="W26" s="1223"/>
      <c r="X26" s="1189"/>
      <c r="Y26" s="1212"/>
      <c r="Z26" s="1244"/>
      <c r="AA26" s="1223"/>
      <c r="AB26" s="1189"/>
      <c r="AC26" s="1212"/>
      <c r="AD26" s="1223"/>
      <c r="AE26" s="1212"/>
      <c r="AF26" s="1224"/>
      <c r="AG26" s="1190"/>
      <c r="AH26" s="1235"/>
      <c r="AI26" s="1224"/>
      <c r="AJ26" s="1190"/>
      <c r="AK26" s="1213"/>
      <c r="AL26" s="1211">
        <f t="shared" si="0"/>
        <v>400</v>
      </c>
      <c r="AM26" s="1197"/>
      <c r="AN26" s="1196"/>
      <c r="AO26" s="248"/>
      <c r="AP26" s="248"/>
    </row>
    <row r="27" spans="1:42" s="247" customFormat="1" ht="14.25" customHeight="1" x14ac:dyDescent="0.2">
      <c r="A27" s="775"/>
      <c r="B27" s="1187" t="s">
        <v>539</v>
      </c>
      <c r="C27" s="1188" t="s">
        <v>1332</v>
      </c>
      <c r="D27" s="1194"/>
      <c r="E27" s="1194"/>
      <c r="F27" s="1236"/>
      <c r="G27" s="1223"/>
      <c r="H27" s="1189"/>
      <c r="I27" s="1212"/>
      <c r="J27" s="1223"/>
      <c r="K27" s="1189"/>
      <c r="L27" s="1234"/>
      <c r="M27" s="1223"/>
      <c r="N27" s="1189"/>
      <c r="O27" s="1212"/>
      <c r="P27" s="1232">
        <v>1922</v>
      </c>
      <c r="Q27" s="1195"/>
      <c r="R27" s="1241"/>
      <c r="S27" s="1227">
        <v>2268</v>
      </c>
      <c r="T27" s="1019"/>
      <c r="U27" s="1218"/>
      <c r="V27" s="1245"/>
      <c r="W27" s="1223"/>
      <c r="X27" s="1189"/>
      <c r="Y27" s="1212"/>
      <c r="Z27" s="1244"/>
      <c r="AA27" s="1223"/>
      <c r="AB27" s="1189"/>
      <c r="AC27" s="1212"/>
      <c r="AD27" s="1223"/>
      <c r="AE27" s="1212"/>
      <c r="AF27" s="1224">
        <f>'ellátottak önk.'!E25</f>
        <v>0</v>
      </c>
      <c r="AG27" s="1190"/>
      <c r="AH27" s="1235"/>
      <c r="AI27" s="1224">
        <v>0</v>
      </c>
      <c r="AJ27" s="1190"/>
      <c r="AK27" s="1213"/>
      <c r="AL27" s="1211">
        <f t="shared" si="0"/>
        <v>4190</v>
      </c>
      <c r="AM27" s="1197"/>
      <c r="AN27" s="1196"/>
      <c r="AO27" s="248"/>
      <c r="AP27" s="248"/>
    </row>
    <row r="28" spans="1:42" s="247" customFormat="1" ht="15" customHeight="1" x14ac:dyDescent="0.2">
      <c r="A28" s="775"/>
      <c r="B28" s="1187" t="s">
        <v>540</v>
      </c>
      <c r="C28" s="825" t="s">
        <v>1336</v>
      </c>
      <c r="D28" s="792"/>
      <c r="E28" s="792"/>
      <c r="F28" s="1237"/>
      <c r="G28" s="1225"/>
      <c r="H28" s="792"/>
      <c r="I28" s="1216"/>
      <c r="J28" s="1225"/>
      <c r="K28" s="792"/>
      <c r="L28" s="1237"/>
      <c r="M28" s="1225"/>
      <c r="N28" s="792"/>
      <c r="O28" s="1216"/>
      <c r="P28" s="1225"/>
      <c r="Q28" s="792"/>
      <c r="R28" s="1237"/>
      <c r="S28" s="1225">
        <v>20</v>
      </c>
      <c r="T28" s="792"/>
      <c r="U28" s="1216"/>
      <c r="V28" s="1246"/>
      <c r="W28" s="1225"/>
      <c r="X28" s="792"/>
      <c r="Y28" s="1216"/>
      <c r="Z28" s="1246"/>
      <c r="AA28" s="1225"/>
      <c r="AB28" s="792"/>
      <c r="AC28" s="1216"/>
      <c r="AD28" s="1225"/>
      <c r="AE28" s="1216"/>
      <c r="AF28" s="1225"/>
      <c r="AG28" s="792"/>
      <c r="AH28" s="1237"/>
      <c r="AI28" s="1225"/>
      <c r="AJ28" s="792"/>
      <c r="AK28" s="1216"/>
      <c r="AL28" s="1214">
        <f t="shared" si="0"/>
        <v>20</v>
      </c>
      <c r="AM28" s="791"/>
      <c r="AN28" s="1196"/>
      <c r="AO28" s="248"/>
      <c r="AP28" s="248"/>
    </row>
    <row r="29" spans="1:42" s="247" customFormat="1" ht="15" customHeight="1" x14ac:dyDescent="0.2">
      <c r="A29" s="775"/>
      <c r="B29" s="1187" t="s">
        <v>541</v>
      </c>
      <c r="C29" s="825" t="s">
        <v>1337</v>
      </c>
      <c r="D29" s="792"/>
      <c r="E29" s="792"/>
      <c r="F29" s="1237"/>
      <c r="G29" s="1225"/>
      <c r="H29" s="792"/>
      <c r="I29" s="1216"/>
      <c r="J29" s="1225"/>
      <c r="K29" s="792"/>
      <c r="L29" s="1237"/>
      <c r="M29" s="1225"/>
      <c r="N29" s="792"/>
      <c r="O29" s="1216"/>
      <c r="P29" s="1225"/>
      <c r="Q29" s="792"/>
      <c r="R29" s="1237"/>
      <c r="S29" s="1225">
        <v>120</v>
      </c>
      <c r="T29" s="792"/>
      <c r="U29" s="1216"/>
      <c r="V29" s="1246"/>
      <c r="W29" s="1225"/>
      <c r="X29" s="792"/>
      <c r="Y29" s="1216"/>
      <c r="Z29" s="1246"/>
      <c r="AA29" s="1225"/>
      <c r="AB29" s="792"/>
      <c r="AC29" s="1216"/>
      <c r="AD29" s="1225"/>
      <c r="AE29" s="1216"/>
      <c r="AF29" s="1225"/>
      <c r="AG29" s="792"/>
      <c r="AH29" s="1237"/>
      <c r="AI29" s="1225"/>
      <c r="AJ29" s="792"/>
      <c r="AK29" s="1216"/>
      <c r="AL29" s="1214">
        <f t="shared" si="0"/>
        <v>120</v>
      </c>
      <c r="AM29" s="1196"/>
      <c r="AN29" s="1196"/>
      <c r="AO29" s="248"/>
      <c r="AP29" s="248"/>
    </row>
    <row r="30" spans="1:42" s="247" customFormat="1" ht="15" customHeight="1" x14ac:dyDescent="0.2">
      <c r="A30" s="775"/>
      <c r="B30" s="1187" t="s">
        <v>542</v>
      </c>
      <c r="C30" s="825" t="s">
        <v>989</v>
      </c>
      <c r="D30" s="792"/>
      <c r="E30" s="792"/>
      <c r="F30" s="1237"/>
      <c r="G30" s="1225"/>
      <c r="H30" s="792"/>
      <c r="I30" s="1216"/>
      <c r="J30" s="1225"/>
      <c r="K30" s="792"/>
      <c r="L30" s="1237"/>
      <c r="M30" s="1225"/>
      <c r="N30" s="792"/>
      <c r="O30" s="1216"/>
      <c r="P30" s="1225">
        <v>6431</v>
      </c>
      <c r="Q30" s="792"/>
      <c r="R30" s="1237"/>
      <c r="S30" s="1225">
        <v>7330</v>
      </c>
      <c r="T30" s="792"/>
      <c r="U30" s="1216"/>
      <c r="V30" s="1246"/>
      <c r="W30" s="1225"/>
      <c r="X30" s="792"/>
      <c r="Y30" s="1216"/>
      <c r="Z30" s="1246"/>
      <c r="AA30" s="1225"/>
      <c r="AB30" s="792"/>
      <c r="AC30" s="1216"/>
      <c r="AD30" s="1225"/>
      <c r="AE30" s="1216"/>
      <c r="AF30" s="1225"/>
      <c r="AG30" s="792"/>
      <c r="AH30" s="1237"/>
      <c r="AI30" s="1225"/>
      <c r="AJ30" s="792"/>
      <c r="AK30" s="1216"/>
      <c r="AL30" s="1214">
        <f t="shared" si="0"/>
        <v>13761</v>
      </c>
      <c r="AM30" s="1196"/>
      <c r="AN30" s="1196"/>
      <c r="AO30" s="248"/>
      <c r="AP30" s="248"/>
    </row>
    <row r="31" spans="1:42" s="247" customFormat="1" ht="15" customHeight="1" x14ac:dyDescent="0.2">
      <c r="A31" s="775"/>
      <c r="B31" s="1187" t="s">
        <v>543</v>
      </c>
      <c r="C31" s="825" t="s">
        <v>1338</v>
      </c>
      <c r="D31" s="792"/>
      <c r="E31" s="792"/>
      <c r="F31" s="1237"/>
      <c r="G31" s="1225"/>
      <c r="H31" s="792"/>
      <c r="I31" s="1216"/>
      <c r="J31" s="1225"/>
      <c r="K31" s="792"/>
      <c r="L31" s="1237"/>
      <c r="M31" s="1225"/>
      <c r="N31" s="792"/>
      <c r="O31" s="1216"/>
      <c r="P31" s="1225">
        <v>288</v>
      </c>
      <c r="Q31" s="792"/>
      <c r="R31" s="1237"/>
      <c r="S31" s="1225">
        <v>13763</v>
      </c>
      <c r="T31" s="792"/>
      <c r="U31" s="1216"/>
      <c r="V31" s="1246"/>
      <c r="W31" s="1225"/>
      <c r="X31" s="792"/>
      <c r="Y31" s="1216"/>
      <c r="Z31" s="1246"/>
      <c r="AA31" s="1225"/>
      <c r="AB31" s="792"/>
      <c r="AC31" s="1216"/>
      <c r="AD31" s="1225"/>
      <c r="AE31" s="1216"/>
      <c r="AF31" s="1225"/>
      <c r="AG31" s="792"/>
      <c r="AH31" s="1237"/>
      <c r="AI31" s="1225"/>
      <c r="AJ31" s="792"/>
      <c r="AK31" s="1216"/>
      <c r="AL31" s="1214">
        <f t="shared" si="0"/>
        <v>14051</v>
      </c>
      <c r="AM31" s="1196"/>
      <c r="AN31" s="1196"/>
      <c r="AO31" s="248"/>
      <c r="AP31" s="248"/>
    </row>
    <row r="32" spans="1:42" s="247" customFormat="1" ht="15" customHeight="1" x14ac:dyDescent="0.2">
      <c r="A32" s="775"/>
      <c r="B32" s="1187" t="s">
        <v>544</v>
      </c>
      <c r="C32" s="825" t="s">
        <v>1339</v>
      </c>
      <c r="D32" s="792">
        <v>38037</v>
      </c>
      <c r="E32" s="792"/>
      <c r="F32" s="1237"/>
      <c r="G32" s="1225"/>
      <c r="H32" s="792"/>
      <c r="I32" s="1216"/>
      <c r="J32" s="1225">
        <v>11893</v>
      </c>
      <c r="K32" s="792"/>
      <c r="L32" s="1237"/>
      <c r="M32" s="1225"/>
      <c r="N32" s="792"/>
      <c r="O32" s="1216"/>
      <c r="P32" s="1225">
        <v>1220</v>
      </c>
      <c r="Q32" s="792"/>
      <c r="R32" s="1237"/>
      <c r="S32" s="1225"/>
      <c r="T32" s="792"/>
      <c r="U32" s="1216"/>
      <c r="V32" s="1246"/>
      <c r="W32" s="1225"/>
      <c r="X32" s="792"/>
      <c r="Y32" s="1216"/>
      <c r="Z32" s="1246"/>
      <c r="AA32" s="1225"/>
      <c r="AB32" s="792"/>
      <c r="AC32" s="1216"/>
      <c r="AD32" s="1225"/>
      <c r="AE32" s="1216"/>
      <c r="AF32" s="1225"/>
      <c r="AG32" s="792"/>
      <c r="AH32" s="1237"/>
      <c r="AI32" s="1225"/>
      <c r="AJ32" s="792"/>
      <c r="AK32" s="1216"/>
      <c r="AL32" s="1214">
        <f t="shared" si="0"/>
        <v>51150</v>
      </c>
      <c r="AM32" s="791"/>
      <c r="AN32" s="1196"/>
      <c r="AO32" s="248"/>
      <c r="AP32" s="248"/>
    </row>
    <row r="33" spans="1:42" s="247" customFormat="1" ht="15" customHeight="1" x14ac:dyDescent="0.2">
      <c r="A33" s="775"/>
      <c r="B33" s="1187" t="s">
        <v>545</v>
      </c>
      <c r="C33" s="825" t="s">
        <v>1340</v>
      </c>
      <c r="D33" s="792">
        <v>0</v>
      </c>
      <c r="E33" s="792"/>
      <c r="F33" s="1237"/>
      <c r="G33" s="1225"/>
      <c r="H33" s="792"/>
      <c r="I33" s="1216"/>
      <c r="J33" s="1225">
        <v>0</v>
      </c>
      <c r="K33" s="792"/>
      <c r="L33" s="1237"/>
      <c r="M33" s="1225"/>
      <c r="N33" s="792"/>
      <c r="O33" s="1216"/>
      <c r="P33" s="1225">
        <v>3361</v>
      </c>
      <c r="Q33" s="792"/>
      <c r="R33" s="1237"/>
      <c r="S33" s="1225"/>
      <c r="T33" s="792"/>
      <c r="U33" s="1216"/>
      <c r="V33" s="1246"/>
      <c r="W33" s="1225"/>
      <c r="X33" s="792"/>
      <c r="Y33" s="1216"/>
      <c r="Z33" s="1246"/>
      <c r="AA33" s="1225"/>
      <c r="AB33" s="792"/>
      <c r="AC33" s="1216"/>
      <c r="AD33" s="1225"/>
      <c r="AE33" s="1216"/>
      <c r="AF33" s="1225"/>
      <c r="AG33" s="792"/>
      <c r="AH33" s="1237"/>
      <c r="AI33" s="1225"/>
      <c r="AJ33" s="792"/>
      <c r="AK33" s="1216"/>
      <c r="AL33" s="1214">
        <f t="shared" si="0"/>
        <v>3361</v>
      </c>
      <c r="AM33" s="1196"/>
      <c r="AN33" s="1198"/>
      <c r="AO33" s="248"/>
      <c r="AP33" s="248"/>
    </row>
    <row r="34" spans="1:42" s="417" customFormat="1" ht="15" customHeight="1" x14ac:dyDescent="0.2">
      <c r="A34" s="1178"/>
      <c r="B34" s="1187" t="s">
        <v>546</v>
      </c>
      <c r="C34" s="1199" t="s">
        <v>1341</v>
      </c>
      <c r="D34" s="837"/>
      <c r="E34" s="837"/>
      <c r="F34" s="1238"/>
      <c r="G34" s="1226">
        <f>2200+1000</f>
        <v>3200</v>
      </c>
      <c r="H34" s="837"/>
      <c r="I34" s="1217"/>
      <c r="J34" s="1226"/>
      <c r="K34" s="837"/>
      <c r="L34" s="1238"/>
      <c r="M34" s="1226">
        <f>600+200</f>
        <v>800</v>
      </c>
      <c r="N34" s="837"/>
      <c r="O34" s="1217"/>
      <c r="P34" s="1226"/>
      <c r="Q34" s="837"/>
      <c r="R34" s="1238"/>
      <c r="S34" s="1226">
        <f>9272+2000</f>
        <v>11272</v>
      </c>
      <c r="T34" s="837"/>
      <c r="U34" s="1217"/>
      <c r="V34" s="1247"/>
      <c r="W34" s="1226"/>
      <c r="X34" s="837"/>
      <c r="Y34" s="1217"/>
      <c r="Z34" s="1247"/>
      <c r="AA34" s="1226"/>
      <c r="AB34" s="837"/>
      <c r="AC34" s="1217"/>
      <c r="AD34" s="1226"/>
      <c r="AE34" s="1217"/>
      <c r="AF34" s="1226"/>
      <c r="AG34" s="837"/>
      <c r="AH34" s="1238"/>
      <c r="AI34" s="1226"/>
      <c r="AJ34" s="837"/>
      <c r="AK34" s="1217"/>
      <c r="AL34" s="1215">
        <f t="shared" si="0"/>
        <v>15272</v>
      </c>
      <c r="AM34" s="1200"/>
      <c r="AN34" s="1201"/>
      <c r="AO34" s="416"/>
      <c r="AP34" s="416"/>
    </row>
    <row r="35" spans="1:42" s="247" customFormat="1" ht="15" customHeight="1" x14ac:dyDescent="0.2">
      <c r="A35" s="775"/>
      <c r="B35" s="1187" t="s">
        <v>564</v>
      </c>
      <c r="C35" s="825" t="s">
        <v>1342</v>
      </c>
      <c r="D35" s="792"/>
      <c r="E35" s="792"/>
      <c r="F35" s="1237"/>
      <c r="G35" s="1225"/>
      <c r="H35" s="792"/>
      <c r="I35" s="1216"/>
      <c r="J35" s="1225"/>
      <c r="K35" s="792"/>
      <c r="L35" s="1237"/>
      <c r="M35" s="1225"/>
      <c r="N35" s="792"/>
      <c r="O35" s="1216"/>
      <c r="P35" s="1225">
        <f>20530-5939</f>
        <v>14591</v>
      </c>
      <c r="Q35" s="792"/>
      <c r="R35" s="1237"/>
      <c r="S35" s="1225"/>
      <c r="T35" s="792"/>
      <c r="U35" s="1216"/>
      <c r="V35" s="1246"/>
      <c r="W35" s="1225"/>
      <c r="X35" s="792"/>
      <c r="Y35" s="1216"/>
      <c r="Z35" s="1246"/>
      <c r="AA35" s="1225"/>
      <c r="AB35" s="792"/>
      <c r="AC35" s="1216"/>
      <c r="AD35" s="1225"/>
      <c r="AE35" s="1216"/>
      <c r="AF35" s="1225"/>
      <c r="AG35" s="792"/>
      <c r="AH35" s="1237"/>
      <c r="AI35" s="1225"/>
      <c r="AJ35" s="792"/>
      <c r="AK35" s="1216"/>
      <c r="AL35" s="1214">
        <f t="shared" si="0"/>
        <v>14591</v>
      </c>
      <c r="AM35" s="1202"/>
      <c r="AN35" s="1196"/>
      <c r="AO35" s="248"/>
      <c r="AP35" s="248"/>
    </row>
    <row r="36" spans="1:42" s="247" customFormat="1" ht="21.75" customHeight="1" x14ac:dyDescent="0.2">
      <c r="A36" s="775"/>
      <c r="B36" s="1187" t="s">
        <v>565</v>
      </c>
      <c r="C36" s="835" t="s">
        <v>1326</v>
      </c>
      <c r="D36" s="792"/>
      <c r="E36" s="792"/>
      <c r="F36" s="1237"/>
      <c r="G36" s="1225"/>
      <c r="H36" s="792"/>
      <c r="I36" s="1216"/>
      <c r="J36" s="1225"/>
      <c r="K36" s="792"/>
      <c r="L36" s="1237"/>
      <c r="M36" s="1225"/>
      <c r="N36" s="792"/>
      <c r="O36" s="1216"/>
      <c r="P36" s="1227">
        <v>12738</v>
      </c>
      <c r="Q36" s="1019"/>
      <c r="R36" s="1240"/>
      <c r="S36" s="1227"/>
      <c r="T36" s="1019"/>
      <c r="U36" s="1218"/>
      <c r="V36" s="1248"/>
      <c r="W36" s="1227"/>
      <c r="X36" s="1019"/>
      <c r="Y36" s="1218"/>
      <c r="Z36" s="1248"/>
      <c r="AA36" s="1227"/>
      <c r="AB36" s="1019"/>
      <c r="AC36" s="1218"/>
      <c r="AD36" s="1227"/>
      <c r="AE36" s="1218"/>
      <c r="AF36" s="1227"/>
      <c r="AG36" s="1019"/>
      <c r="AH36" s="1240"/>
      <c r="AI36" s="1227"/>
      <c r="AJ36" s="1019"/>
      <c r="AK36" s="1218"/>
      <c r="AL36" s="1211">
        <f t="shared" si="0"/>
        <v>12738</v>
      </c>
      <c r="AM36" s="1202"/>
      <c r="AN36" s="1196"/>
      <c r="AO36" s="248"/>
      <c r="AP36" s="248"/>
    </row>
    <row r="37" spans="1:42" s="247" customFormat="1" ht="23.25" customHeight="1" x14ac:dyDescent="0.2">
      <c r="A37" s="775"/>
      <c r="B37" s="1187" t="s">
        <v>566</v>
      </c>
      <c r="C37" s="835" t="s">
        <v>1289</v>
      </c>
      <c r="D37" s="792"/>
      <c r="E37" s="792"/>
      <c r="F37" s="1237"/>
      <c r="G37" s="1225"/>
      <c r="H37" s="792"/>
      <c r="I37" s="1216"/>
      <c r="J37" s="1225"/>
      <c r="K37" s="792"/>
      <c r="L37" s="1237"/>
      <c r="M37" s="1225"/>
      <c r="N37" s="792"/>
      <c r="O37" s="1216"/>
      <c r="P37" s="1227"/>
      <c r="Q37" s="1019"/>
      <c r="R37" s="1240"/>
      <c r="S37" s="1227"/>
      <c r="T37" s="1019"/>
      <c r="U37" s="1218"/>
      <c r="V37" s="1248"/>
      <c r="W37" s="1227">
        <v>1778</v>
      </c>
      <c r="X37" s="1019"/>
      <c r="Y37" s="1218"/>
      <c r="Z37" s="1248"/>
      <c r="AA37" s="1227"/>
      <c r="AB37" s="1019"/>
      <c r="AC37" s="1218"/>
      <c r="AD37" s="1227"/>
      <c r="AE37" s="1218"/>
      <c r="AF37" s="1227"/>
      <c r="AG37" s="1019"/>
      <c r="AH37" s="1240"/>
      <c r="AI37" s="1227"/>
      <c r="AJ37" s="1019"/>
      <c r="AK37" s="1218"/>
      <c r="AL37" s="1211">
        <f t="shared" si="0"/>
        <v>1778</v>
      </c>
      <c r="AM37" s="1202"/>
      <c r="AN37" s="1196"/>
      <c r="AO37" s="248"/>
      <c r="AP37" s="248"/>
    </row>
    <row r="38" spans="1:42" s="247" customFormat="1" ht="15" customHeight="1" x14ac:dyDescent="0.2">
      <c r="A38" s="775"/>
      <c r="B38" s="1187" t="s">
        <v>567</v>
      </c>
      <c r="C38" s="825" t="s">
        <v>1328</v>
      </c>
      <c r="D38" s="792"/>
      <c r="E38" s="792"/>
      <c r="F38" s="1237"/>
      <c r="G38" s="1225"/>
      <c r="H38" s="792"/>
      <c r="I38" s="1216"/>
      <c r="J38" s="1225"/>
      <c r="K38" s="792"/>
      <c r="L38" s="1237"/>
      <c r="M38" s="1225"/>
      <c r="N38" s="792"/>
      <c r="O38" s="1216"/>
      <c r="P38" s="1225">
        <v>6833</v>
      </c>
      <c r="Q38" s="792"/>
      <c r="R38" s="1237"/>
      <c r="S38" s="1225"/>
      <c r="T38" s="792"/>
      <c r="U38" s="1216"/>
      <c r="V38" s="1246"/>
      <c r="W38" s="1225"/>
      <c r="X38" s="792"/>
      <c r="Y38" s="1216"/>
      <c r="Z38" s="1246"/>
      <c r="AA38" s="1225"/>
      <c r="AB38" s="792"/>
      <c r="AC38" s="1216"/>
      <c r="AD38" s="1225"/>
      <c r="AE38" s="1216"/>
      <c r="AF38" s="1225"/>
      <c r="AG38" s="792"/>
      <c r="AH38" s="1237"/>
      <c r="AI38" s="1225"/>
      <c r="AJ38" s="792"/>
      <c r="AK38" s="1216"/>
      <c r="AL38" s="1214">
        <f t="shared" si="0"/>
        <v>6833</v>
      </c>
      <c r="AM38" s="1202"/>
      <c r="AN38" s="1196"/>
      <c r="AO38" s="248"/>
      <c r="AP38" s="248"/>
    </row>
    <row r="39" spans="1:42" s="247" customFormat="1" ht="15" customHeight="1" x14ac:dyDescent="0.2">
      <c r="A39" s="775"/>
      <c r="B39" s="1187" t="s">
        <v>568</v>
      </c>
      <c r="C39" s="825" t="s">
        <v>1329</v>
      </c>
      <c r="D39" s="792"/>
      <c r="E39" s="792"/>
      <c r="F39" s="1237"/>
      <c r="G39" s="1225"/>
      <c r="H39" s="792"/>
      <c r="I39" s="1216"/>
      <c r="J39" s="1225"/>
      <c r="K39" s="792"/>
      <c r="L39" s="1237"/>
      <c r="M39" s="1225"/>
      <c r="N39" s="792"/>
      <c r="O39" s="1216"/>
      <c r="P39" s="1225">
        <v>62103</v>
      </c>
      <c r="Q39" s="792"/>
      <c r="R39" s="1237"/>
      <c r="S39" s="1225">
        <v>6648</v>
      </c>
      <c r="T39" s="792"/>
      <c r="U39" s="1216"/>
      <c r="V39" s="1246"/>
      <c r="W39" s="1225"/>
      <c r="X39" s="792"/>
      <c r="Y39" s="1216"/>
      <c r="Z39" s="1246"/>
      <c r="AA39" s="1225"/>
      <c r="AB39" s="792"/>
      <c r="AC39" s="1216"/>
      <c r="AD39" s="1225"/>
      <c r="AE39" s="1216"/>
      <c r="AF39" s="1225"/>
      <c r="AG39" s="792"/>
      <c r="AH39" s="1237"/>
      <c r="AI39" s="1225"/>
      <c r="AJ39" s="792"/>
      <c r="AK39" s="1216"/>
      <c r="AL39" s="1214">
        <f t="shared" si="0"/>
        <v>68751</v>
      </c>
      <c r="AM39" s="1202"/>
      <c r="AN39" s="1196"/>
      <c r="AO39" s="248"/>
      <c r="AP39" s="248"/>
    </row>
    <row r="40" spans="1:42" s="247" customFormat="1" ht="24" customHeight="1" x14ac:dyDescent="0.2">
      <c r="A40" s="775"/>
      <c r="B40" s="1187" t="s">
        <v>569</v>
      </c>
      <c r="C40" s="1188" t="s">
        <v>1054</v>
      </c>
      <c r="D40" s="1203"/>
      <c r="E40" s="1203"/>
      <c r="F40" s="1239"/>
      <c r="G40" s="1228"/>
      <c r="H40" s="1203"/>
      <c r="I40" s="1220"/>
      <c r="J40" s="1228"/>
      <c r="K40" s="1203"/>
      <c r="L40" s="1239"/>
      <c r="M40" s="1228"/>
      <c r="N40" s="1203"/>
      <c r="O40" s="1220"/>
      <c r="P40" s="1228">
        <v>5000</v>
      </c>
      <c r="Q40" s="1203"/>
      <c r="R40" s="1239"/>
      <c r="S40" s="1228"/>
      <c r="T40" s="1203"/>
      <c r="U40" s="1220"/>
      <c r="V40" s="1249"/>
      <c r="W40" s="1228"/>
      <c r="X40" s="1203"/>
      <c r="Y40" s="1220"/>
      <c r="Z40" s="1249"/>
      <c r="AA40" s="1228"/>
      <c r="AB40" s="1203"/>
      <c r="AC40" s="1220"/>
      <c r="AD40" s="1228"/>
      <c r="AE40" s="1220"/>
      <c r="AF40" s="1228"/>
      <c r="AG40" s="1203"/>
      <c r="AH40" s="1239"/>
      <c r="AI40" s="1228"/>
      <c r="AJ40" s="1203"/>
      <c r="AK40" s="1220"/>
      <c r="AL40" s="1219">
        <f t="shared" si="0"/>
        <v>5000</v>
      </c>
      <c r="AM40" s="1202"/>
      <c r="AN40" s="1196"/>
      <c r="AO40" s="248"/>
      <c r="AP40" s="248"/>
    </row>
    <row r="41" spans="1:42" s="247" customFormat="1" ht="24" customHeight="1" x14ac:dyDescent="0.2">
      <c r="A41" s="775"/>
      <c r="B41" s="1187" t="s">
        <v>570</v>
      </c>
      <c r="C41" s="835" t="s">
        <v>1142</v>
      </c>
      <c r="D41" s="1019"/>
      <c r="E41" s="1019"/>
      <c r="F41" s="1240"/>
      <c r="G41" s="1227"/>
      <c r="H41" s="1019"/>
      <c r="I41" s="1218"/>
      <c r="J41" s="1227"/>
      <c r="K41" s="1019"/>
      <c r="L41" s="1240"/>
      <c r="M41" s="1227"/>
      <c r="N41" s="1019"/>
      <c r="O41" s="1218"/>
      <c r="P41" s="1227">
        <v>5000</v>
      </c>
      <c r="Q41" s="1019"/>
      <c r="R41" s="1240"/>
      <c r="S41" s="1227"/>
      <c r="T41" s="1019"/>
      <c r="U41" s="1218"/>
      <c r="V41" s="1248"/>
      <c r="W41" s="1227"/>
      <c r="X41" s="1019"/>
      <c r="Y41" s="1218"/>
      <c r="Z41" s="1248"/>
      <c r="AA41" s="1227"/>
      <c r="AB41" s="1019"/>
      <c r="AC41" s="1218"/>
      <c r="AD41" s="1227"/>
      <c r="AE41" s="1218"/>
      <c r="AF41" s="1227"/>
      <c r="AG41" s="1019"/>
      <c r="AH41" s="1240"/>
      <c r="AI41" s="1227"/>
      <c r="AJ41" s="1019"/>
      <c r="AK41" s="1218"/>
      <c r="AL41" s="1211">
        <f t="shared" si="0"/>
        <v>5000</v>
      </c>
      <c r="AM41" s="1202"/>
      <c r="AN41" s="1196"/>
      <c r="AO41" s="248"/>
      <c r="AP41" s="248"/>
    </row>
    <row r="42" spans="1:42" s="247" customFormat="1" ht="15" customHeight="1" x14ac:dyDescent="0.2">
      <c r="A42" s="775"/>
      <c r="B42" s="1187" t="s">
        <v>571</v>
      </c>
      <c r="C42" s="825" t="s">
        <v>984</v>
      </c>
      <c r="D42" s="792"/>
      <c r="E42" s="792"/>
      <c r="F42" s="1237"/>
      <c r="G42" s="1225"/>
      <c r="H42" s="792"/>
      <c r="I42" s="1216"/>
      <c r="J42" s="1225"/>
      <c r="K42" s="792"/>
      <c r="L42" s="1237"/>
      <c r="M42" s="1225"/>
      <c r="N42" s="792"/>
      <c r="O42" s="1216"/>
      <c r="P42" s="1225"/>
      <c r="Q42" s="792"/>
      <c r="R42" s="1237"/>
      <c r="S42" s="1225">
        <v>14684</v>
      </c>
      <c r="T42" s="792"/>
      <c r="U42" s="1216"/>
      <c r="V42" s="1246"/>
      <c r="W42" s="1225"/>
      <c r="X42" s="792"/>
      <c r="Y42" s="1216"/>
      <c r="Z42" s="1246"/>
      <c r="AA42" s="1225"/>
      <c r="AB42" s="792"/>
      <c r="AC42" s="1216"/>
      <c r="AD42" s="1225"/>
      <c r="AE42" s="1216"/>
      <c r="AF42" s="1225"/>
      <c r="AG42" s="792"/>
      <c r="AH42" s="1237"/>
      <c r="AI42" s="1225"/>
      <c r="AJ42" s="792"/>
      <c r="AK42" s="1216"/>
      <c r="AL42" s="1214">
        <f t="shared" si="0"/>
        <v>14684</v>
      </c>
      <c r="AM42" s="1202"/>
      <c r="AN42" s="1196"/>
      <c r="AO42" s="248"/>
      <c r="AP42" s="248"/>
    </row>
    <row r="43" spans="1:42" s="247" customFormat="1" ht="17.25" customHeight="1" x14ac:dyDescent="0.2">
      <c r="A43" s="775"/>
      <c r="B43" s="1187" t="s">
        <v>572</v>
      </c>
      <c r="C43" s="835" t="s">
        <v>987</v>
      </c>
      <c r="D43" s="792"/>
      <c r="E43" s="792"/>
      <c r="F43" s="1237"/>
      <c r="G43" s="1227">
        <v>2048</v>
      </c>
      <c r="H43" s="1019"/>
      <c r="I43" s="1218"/>
      <c r="J43" s="1227"/>
      <c r="K43" s="1019"/>
      <c r="L43" s="1240"/>
      <c r="M43" s="1227">
        <v>432</v>
      </c>
      <c r="N43" s="1019"/>
      <c r="O43" s="1218"/>
      <c r="P43" s="1227">
        <v>350</v>
      </c>
      <c r="Q43" s="1019"/>
      <c r="R43" s="1240"/>
      <c r="S43" s="1227"/>
      <c r="T43" s="1019"/>
      <c r="U43" s="1218"/>
      <c r="V43" s="1248"/>
      <c r="W43" s="1227"/>
      <c r="X43" s="1019"/>
      <c r="Y43" s="1218"/>
      <c r="Z43" s="1248"/>
      <c r="AA43" s="1227"/>
      <c r="AB43" s="1019"/>
      <c r="AC43" s="1218"/>
      <c r="AD43" s="1227"/>
      <c r="AE43" s="1218"/>
      <c r="AF43" s="1227"/>
      <c r="AG43" s="1019"/>
      <c r="AH43" s="1240"/>
      <c r="AI43" s="1227"/>
      <c r="AJ43" s="1019"/>
      <c r="AK43" s="1218"/>
      <c r="AL43" s="1211">
        <f t="shared" ref="AL43:AL47" si="1">SUM(D43:AI43)</f>
        <v>2830</v>
      </c>
      <c r="AM43" s="1202"/>
      <c r="AN43" s="1196"/>
      <c r="AO43" s="248"/>
      <c r="AP43" s="248"/>
    </row>
    <row r="44" spans="1:42" s="247" customFormat="1" ht="15" customHeight="1" x14ac:dyDescent="0.2">
      <c r="A44" s="775"/>
      <c r="B44" s="1187" t="s">
        <v>624</v>
      </c>
      <c r="C44" s="825" t="s">
        <v>982</v>
      </c>
      <c r="D44" s="792"/>
      <c r="E44" s="792"/>
      <c r="F44" s="1237"/>
      <c r="G44" s="1225">
        <v>4000</v>
      </c>
      <c r="H44" s="792"/>
      <c r="I44" s="1216"/>
      <c r="J44" s="1225"/>
      <c r="K44" s="792"/>
      <c r="L44" s="1237"/>
      <c r="M44" s="1225">
        <v>2000</v>
      </c>
      <c r="N44" s="792"/>
      <c r="O44" s="1216"/>
      <c r="P44" s="1225"/>
      <c r="Q44" s="792"/>
      <c r="R44" s="1237"/>
      <c r="S44" s="1225">
        <v>12716</v>
      </c>
      <c r="T44" s="792"/>
      <c r="U44" s="1216"/>
      <c r="V44" s="1246"/>
      <c r="W44" s="1225"/>
      <c r="X44" s="792"/>
      <c r="Y44" s="1216"/>
      <c r="Z44" s="1246"/>
      <c r="AA44" s="1225"/>
      <c r="AB44" s="792"/>
      <c r="AC44" s="1216"/>
      <c r="AD44" s="1225"/>
      <c r="AE44" s="1216"/>
      <c r="AF44" s="1225"/>
      <c r="AG44" s="792"/>
      <c r="AH44" s="1237"/>
      <c r="AI44" s="1225"/>
      <c r="AJ44" s="792"/>
      <c r="AK44" s="1216"/>
      <c r="AL44" s="1214">
        <f t="shared" si="1"/>
        <v>18716</v>
      </c>
      <c r="AM44" s="1202"/>
      <c r="AN44" s="1196"/>
      <c r="AO44" s="248"/>
      <c r="AP44" s="248"/>
    </row>
    <row r="45" spans="1:42" s="247" customFormat="1" ht="15" customHeight="1" x14ac:dyDescent="0.2">
      <c r="A45" s="775"/>
      <c r="B45" s="1187" t="s">
        <v>625</v>
      </c>
      <c r="C45" s="825" t="s">
        <v>983</v>
      </c>
      <c r="D45" s="792"/>
      <c r="E45" s="792"/>
      <c r="F45" s="1237"/>
      <c r="G45" s="1225"/>
      <c r="H45" s="792"/>
      <c r="I45" s="1216"/>
      <c r="J45" s="1225"/>
      <c r="K45" s="792"/>
      <c r="L45" s="1237"/>
      <c r="M45" s="1225"/>
      <c r="N45" s="792"/>
      <c r="O45" s="1216"/>
      <c r="P45" s="1225"/>
      <c r="Q45" s="792"/>
      <c r="R45" s="1237"/>
      <c r="S45" s="1225">
        <v>0</v>
      </c>
      <c r="T45" s="792"/>
      <c r="U45" s="1216"/>
      <c r="V45" s="1246"/>
      <c r="W45" s="1225"/>
      <c r="X45" s="792"/>
      <c r="Y45" s="1216"/>
      <c r="Z45" s="1246"/>
      <c r="AA45" s="1225"/>
      <c r="AB45" s="792"/>
      <c r="AC45" s="1216"/>
      <c r="AD45" s="1225"/>
      <c r="AE45" s="1216"/>
      <c r="AF45" s="1225"/>
      <c r="AG45" s="792"/>
      <c r="AH45" s="1237"/>
      <c r="AI45" s="1225"/>
      <c r="AJ45" s="792"/>
      <c r="AK45" s="1216"/>
      <c r="AL45" s="1214">
        <f t="shared" si="1"/>
        <v>0</v>
      </c>
      <c r="AM45" s="1202"/>
      <c r="AN45" s="1196"/>
      <c r="AO45" s="248"/>
      <c r="AP45" s="248"/>
    </row>
    <row r="46" spans="1:42" s="247" customFormat="1" ht="15" customHeight="1" x14ac:dyDescent="0.2">
      <c r="A46" s="775"/>
      <c r="B46" s="1187" t="s">
        <v>626</v>
      </c>
      <c r="C46" s="825" t="s">
        <v>1052</v>
      </c>
      <c r="D46" s="792"/>
      <c r="E46" s="792"/>
      <c r="F46" s="1237"/>
      <c r="G46" s="1225"/>
      <c r="H46" s="792"/>
      <c r="I46" s="1216"/>
      <c r="J46" s="1225"/>
      <c r="K46" s="792"/>
      <c r="L46" s="1237"/>
      <c r="M46" s="1225"/>
      <c r="N46" s="792"/>
      <c r="O46" s="1216"/>
      <c r="P46" s="1225">
        <v>634</v>
      </c>
      <c r="Q46" s="792"/>
      <c r="R46" s="1237"/>
      <c r="S46" s="1225">
        <v>65627</v>
      </c>
      <c r="T46" s="792"/>
      <c r="U46" s="1216"/>
      <c r="V46" s="1246"/>
      <c r="W46" s="1225"/>
      <c r="X46" s="792"/>
      <c r="Y46" s="1216"/>
      <c r="Z46" s="1246"/>
      <c r="AA46" s="1225"/>
      <c r="AB46" s="792"/>
      <c r="AC46" s="1216"/>
      <c r="AD46" s="1225"/>
      <c r="AE46" s="1216"/>
      <c r="AF46" s="1225"/>
      <c r="AG46" s="792"/>
      <c r="AH46" s="1237"/>
      <c r="AI46" s="1225"/>
      <c r="AJ46" s="792"/>
      <c r="AK46" s="1216"/>
      <c r="AL46" s="1214">
        <f t="shared" si="1"/>
        <v>66261</v>
      </c>
      <c r="AM46" s="1202"/>
      <c r="AN46" s="1196"/>
      <c r="AO46" s="248"/>
      <c r="AP46" s="248"/>
    </row>
    <row r="47" spans="1:42" s="247" customFormat="1" ht="15" customHeight="1" x14ac:dyDescent="0.2">
      <c r="A47" s="775"/>
      <c r="B47" s="1187" t="s">
        <v>627</v>
      </c>
      <c r="C47" s="1188" t="s">
        <v>985</v>
      </c>
      <c r="D47" s="1195">
        <v>11487</v>
      </c>
      <c r="E47" s="1195"/>
      <c r="F47" s="1241"/>
      <c r="G47" s="1232">
        <v>3061</v>
      </c>
      <c r="H47" s="1195"/>
      <c r="I47" s="1233"/>
      <c r="J47" s="1232">
        <v>2925</v>
      </c>
      <c r="K47" s="1195"/>
      <c r="L47" s="1241"/>
      <c r="M47" s="1225">
        <v>606</v>
      </c>
      <c r="N47" s="792"/>
      <c r="O47" s="1216"/>
      <c r="P47" s="1232">
        <f>15897+548</f>
        <v>16445</v>
      </c>
      <c r="Q47" s="1195"/>
      <c r="R47" s="1241"/>
      <c r="S47" s="1232"/>
      <c r="T47" s="1195"/>
      <c r="U47" s="1233"/>
      <c r="V47" s="1245"/>
      <c r="W47" s="1223"/>
      <c r="X47" s="1189"/>
      <c r="Y47" s="1212"/>
      <c r="Z47" s="1244"/>
      <c r="AA47" s="1223"/>
      <c r="AB47" s="1189"/>
      <c r="AC47" s="1212"/>
      <c r="AD47" s="1223"/>
      <c r="AE47" s="1212"/>
      <c r="AF47" s="1223"/>
      <c r="AG47" s="1189"/>
      <c r="AH47" s="1234"/>
      <c r="AI47" s="1223"/>
      <c r="AJ47" s="1189"/>
      <c r="AK47" s="1212"/>
      <c r="AL47" s="1214">
        <f t="shared" si="1"/>
        <v>34524</v>
      </c>
      <c r="AM47" s="1202"/>
      <c r="AN47" s="1196"/>
      <c r="AO47" s="248"/>
      <c r="AP47" s="248"/>
    </row>
    <row r="48" spans="1:42" s="247" customFormat="1" ht="15" customHeight="1" x14ac:dyDescent="0.2">
      <c r="A48" s="775"/>
      <c r="B48" s="1187" t="s">
        <v>115</v>
      </c>
      <c r="C48" s="825" t="s">
        <v>1343</v>
      </c>
      <c r="D48" s="792"/>
      <c r="E48" s="792"/>
      <c r="F48" s="1237"/>
      <c r="G48" s="1225">
        <v>17415</v>
      </c>
      <c r="H48" s="792"/>
      <c r="I48" s="1216"/>
      <c r="J48" s="1225"/>
      <c r="K48" s="792"/>
      <c r="L48" s="1237"/>
      <c r="M48" s="1225">
        <v>7538</v>
      </c>
      <c r="N48" s="792"/>
      <c r="O48" s="1216"/>
      <c r="P48" s="1225"/>
      <c r="Q48" s="792"/>
      <c r="R48" s="1237"/>
      <c r="S48" s="1225">
        <v>3829</v>
      </c>
      <c r="T48" s="792"/>
      <c r="U48" s="1216"/>
      <c r="V48" s="1246"/>
      <c r="W48" s="1225"/>
      <c r="X48" s="792"/>
      <c r="Y48" s="1216"/>
      <c r="Z48" s="1246"/>
      <c r="AA48" s="1225"/>
      <c r="AB48" s="792"/>
      <c r="AC48" s="1216"/>
      <c r="AD48" s="1225"/>
      <c r="AE48" s="1216"/>
      <c r="AF48" s="1225"/>
      <c r="AG48" s="792"/>
      <c r="AH48" s="1237"/>
      <c r="AI48" s="1225"/>
      <c r="AJ48" s="792"/>
      <c r="AK48" s="1216"/>
      <c r="AL48" s="1214">
        <f t="shared" ref="AL48:AL71" si="2">SUM(D48:AI48)</f>
        <v>28782</v>
      </c>
      <c r="AM48" s="1202"/>
      <c r="AN48" s="1196"/>
      <c r="AO48" s="248"/>
      <c r="AP48" s="248"/>
    </row>
    <row r="49" spans="1:42" s="247" customFormat="1" ht="15" customHeight="1" x14ac:dyDescent="0.2">
      <c r="A49" s="775"/>
      <c r="B49" s="1187" t="s">
        <v>652</v>
      </c>
      <c r="C49" s="825" t="s">
        <v>1344</v>
      </c>
      <c r="D49" s="792"/>
      <c r="E49" s="792"/>
      <c r="F49" s="1237"/>
      <c r="G49" s="1225"/>
      <c r="H49" s="792"/>
      <c r="I49" s="1216"/>
      <c r="J49" s="1225"/>
      <c r="K49" s="792"/>
      <c r="L49" s="1237"/>
      <c r="M49" s="1225"/>
      <c r="N49" s="792"/>
      <c r="O49" s="1216"/>
      <c r="P49" s="1225"/>
      <c r="Q49" s="792"/>
      <c r="R49" s="1237"/>
      <c r="S49" s="1225"/>
      <c r="T49" s="792"/>
      <c r="U49" s="1216"/>
      <c r="V49" s="1246">
        <v>5850</v>
      </c>
      <c r="W49" s="1225">
        <v>56438</v>
      </c>
      <c r="X49" s="792"/>
      <c r="Y49" s="1216"/>
      <c r="Z49" s="1246">
        <v>139812</v>
      </c>
      <c r="AA49" s="1225">
        <f>mc.pe.átad!F73-AA53</f>
        <v>160532</v>
      </c>
      <c r="AB49" s="792"/>
      <c r="AC49" s="1216"/>
      <c r="AD49" s="1225"/>
      <c r="AE49" s="1216"/>
      <c r="AF49" s="1225"/>
      <c r="AG49" s="792"/>
      <c r="AH49" s="1237"/>
      <c r="AI49" s="1225"/>
      <c r="AJ49" s="792"/>
      <c r="AK49" s="1216"/>
      <c r="AL49" s="1214">
        <f t="shared" si="2"/>
        <v>362632</v>
      </c>
      <c r="AM49" s="1196"/>
      <c r="AN49" s="1196"/>
      <c r="AO49" s="248"/>
      <c r="AP49" s="248"/>
    </row>
    <row r="50" spans="1:42" s="247" customFormat="1" ht="15" customHeight="1" x14ac:dyDescent="0.2">
      <c r="A50" s="775"/>
      <c r="B50" s="1187" t="s">
        <v>653</v>
      </c>
      <c r="C50" s="825" t="s">
        <v>1345</v>
      </c>
      <c r="D50" s="792"/>
      <c r="E50" s="792"/>
      <c r="F50" s="1237"/>
      <c r="G50" s="1225"/>
      <c r="H50" s="792"/>
      <c r="I50" s="1216"/>
      <c r="J50" s="1225"/>
      <c r="K50" s="792"/>
      <c r="L50" s="1237"/>
      <c r="M50" s="1225"/>
      <c r="N50" s="792"/>
      <c r="O50" s="1216"/>
      <c r="P50" s="1225"/>
      <c r="Q50" s="792"/>
      <c r="R50" s="1237"/>
      <c r="S50" s="1225"/>
      <c r="T50" s="792"/>
      <c r="U50" s="1216"/>
      <c r="V50" s="1246"/>
      <c r="W50" s="1225"/>
      <c r="X50" s="792"/>
      <c r="Y50" s="1216"/>
      <c r="Z50" s="1246"/>
      <c r="AA50" s="1225"/>
      <c r="AB50" s="792"/>
      <c r="AC50" s="1216"/>
      <c r="AD50" s="1225"/>
      <c r="AE50" s="1216"/>
      <c r="AF50" s="1225"/>
      <c r="AG50" s="792"/>
      <c r="AH50" s="1237"/>
      <c r="AI50" s="1225"/>
      <c r="AJ50" s="792"/>
      <c r="AK50" s="1216"/>
      <c r="AL50" s="1214">
        <f t="shared" si="2"/>
        <v>0</v>
      </c>
      <c r="AM50" s="1197"/>
      <c r="AN50" s="1196"/>
      <c r="AO50" s="248"/>
      <c r="AP50" s="248"/>
    </row>
    <row r="51" spans="1:42" s="247" customFormat="1" ht="15" customHeight="1" x14ac:dyDescent="0.2">
      <c r="A51" s="775"/>
      <c r="B51" s="1187" t="s">
        <v>118</v>
      </c>
      <c r="C51" s="832" t="s">
        <v>990</v>
      </c>
      <c r="D51" s="1019"/>
      <c r="E51" s="1019"/>
      <c r="F51" s="1240"/>
      <c r="G51" s="1227"/>
      <c r="H51" s="1019"/>
      <c r="I51" s="1218"/>
      <c r="J51" s="1227"/>
      <c r="K51" s="1019"/>
      <c r="L51" s="1240"/>
      <c r="M51" s="1227"/>
      <c r="N51" s="1019"/>
      <c r="O51" s="1218"/>
      <c r="P51" s="1227"/>
      <c r="Q51" s="1019"/>
      <c r="R51" s="1240"/>
      <c r="S51" s="1227">
        <f>2515+1134</f>
        <v>3649</v>
      </c>
      <c r="T51" s="1019"/>
      <c r="U51" s="1218"/>
      <c r="V51" s="1248"/>
      <c r="W51" s="1227"/>
      <c r="X51" s="1019"/>
      <c r="Y51" s="1218"/>
      <c r="Z51" s="1248"/>
      <c r="AA51" s="1227"/>
      <c r="AB51" s="1019"/>
      <c r="AC51" s="1218"/>
      <c r="AD51" s="1227"/>
      <c r="AE51" s="1218"/>
      <c r="AF51" s="1227"/>
      <c r="AG51" s="1019"/>
      <c r="AH51" s="1240"/>
      <c r="AI51" s="1227"/>
      <c r="AJ51" s="1019"/>
      <c r="AK51" s="1218"/>
      <c r="AL51" s="1211">
        <f t="shared" si="2"/>
        <v>3649</v>
      </c>
      <c r="AM51" s="791"/>
      <c r="AN51" s="1196"/>
      <c r="AO51" s="248"/>
      <c r="AP51" s="248"/>
    </row>
    <row r="52" spans="1:42" s="247" customFormat="1" ht="15" customHeight="1" x14ac:dyDescent="0.2">
      <c r="A52" s="775"/>
      <c r="B52" s="1187" t="s">
        <v>119</v>
      </c>
      <c r="C52" s="832" t="s">
        <v>991</v>
      </c>
      <c r="D52" s="1019"/>
      <c r="E52" s="1019"/>
      <c r="F52" s="1240"/>
      <c r="G52" s="1227"/>
      <c r="H52" s="1019"/>
      <c r="I52" s="1218"/>
      <c r="J52" s="1227"/>
      <c r="K52" s="1019"/>
      <c r="L52" s="1240"/>
      <c r="M52" s="1227"/>
      <c r="N52" s="1019"/>
      <c r="O52" s="1218"/>
      <c r="P52" s="1227"/>
      <c r="Q52" s="1019"/>
      <c r="R52" s="1240"/>
      <c r="S52" s="1227"/>
      <c r="T52" s="1019"/>
      <c r="U52" s="1218"/>
      <c r="V52" s="1248"/>
      <c r="W52" s="1227"/>
      <c r="X52" s="1019"/>
      <c r="Y52" s="1218"/>
      <c r="Z52" s="1248"/>
      <c r="AA52" s="1227"/>
      <c r="AB52" s="1019"/>
      <c r="AC52" s="1218"/>
      <c r="AD52" s="1227">
        <v>0</v>
      </c>
      <c r="AE52" s="1218"/>
      <c r="AF52" s="1227"/>
      <c r="AG52" s="1019"/>
      <c r="AH52" s="1240"/>
      <c r="AI52" s="1227"/>
      <c r="AJ52" s="1019"/>
      <c r="AK52" s="1218"/>
      <c r="AL52" s="1211">
        <f t="shared" si="2"/>
        <v>0</v>
      </c>
      <c r="AM52" s="791"/>
      <c r="AN52" s="1196"/>
      <c r="AO52" s="248"/>
      <c r="AP52" s="248"/>
    </row>
    <row r="53" spans="1:42" s="247" customFormat="1" ht="15" customHeight="1" x14ac:dyDescent="0.2">
      <c r="A53" s="775"/>
      <c r="B53" s="1187" t="s">
        <v>120</v>
      </c>
      <c r="C53" s="832" t="s">
        <v>1235</v>
      </c>
      <c r="D53" s="1019"/>
      <c r="E53" s="1019"/>
      <c r="F53" s="1240"/>
      <c r="G53" s="1227">
        <v>0</v>
      </c>
      <c r="H53" s="1019"/>
      <c r="I53" s="1218"/>
      <c r="J53" s="1227"/>
      <c r="K53" s="1019"/>
      <c r="L53" s="1240"/>
      <c r="M53" s="1227">
        <v>0</v>
      </c>
      <c r="N53" s="1019"/>
      <c r="O53" s="1218"/>
      <c r="P53" s="1227"/>
      <c r="Q53" s="1019"/>
      <c r="R53" s="1240"/>
      <c r="S53" s="1227">
        <v>0</v>
      </c>
      <c r="T53" s="1019"/>
      <c r="U53" s="1218"/>
      <c r="V53" s="1248"/>
      <c r="W53" s="1227"/>
      <c r="X53" s="1019"/>
      <c r="Y53" s="1218"/>
      <c r="Z53" s="1248"/>
      <c r="AA53" s="1227">
        <v>16674</v>
      </c>
      <c r="AB53" s="1019"/>
      <c r="AC53" s="1218"/>
      <c r="AD53" s="1227"/>
      <c r="AE53" s="1218"/>
      <c r="AF53" s="1227"/>
      <c r="AG53" s="1019"/>
      <c r="AH53" s="1240"/>
      <c r="AI53" s="1227"/>
      <c r="AJ53" s="1019"/>
      <c r="AK53" s="1218"/>
      <c r="AL53" s="1211">
        <f t="shared" si="2"/>
        <v>16674</v>
      </c>
      <c r="AM53" s="791"/>
      <c r="AN53" s="1196"/>
      <c r="AO53" s="248"/>
      <c r="AP53" s="248"/>
    </row>
    <row r="54" spans="1:42" s="247" customFormat="1" ht="15" customHeight="1" x14ac:dyDescent="0.2">
      <c r="A54" s="775"/>
      <c r="B54" s="1187" t="s">
        <v>123</v>
      </c>
      <c r="C54" s="832" t="s">
        <v>992</v>
      </c>
      <c r="D54" s="1019"/>
      <c r="E54" s="1019"/>
      <c r="F54" s="1240"/>
      <c r="G54" s="1227"/>
      <c r="H54" s="1019"/>
      <c r="I54" s="1218"/>
      <c r="J54" s="1227"/>
      <c r="K54" s="1019"/>
      <c r="L54" s="1240"/>
      <c r="M54" s="1227"/>
      <c r="N54" s="1019"/>
      <c r="O54" s="1218"/>
      <c r="P54" s="1227">
        <v>13361</v>
      </c>
      <c r="Q54" s="1019"/>
      <c r="R54" s="1240"/>
      <c r="S54" s="1227"/>
      <c r="T54" s="1019"/>
      <c r="U54" s="1218"/>
      <c r="V54" s="1248"/>
      <c r="W54" s="1227"/>
      <c r="X54" s="1019"/>
      <c r="Y54" s="1218"/>
      <c r="Z54" s="1248"/>
      <c r="AA54" s="1227"/>
      <c r="AB54" s="1019"/>
      <c r="AC54" s="1218"/>
      <c r="AD54" s="1227"/>
      <c r="AE54" s="1218"/>
      <c r="AF54" s="1227"/>
      <c r="AG54" s="1019"/>
      <c r="AH54" s="1240"/>
      <c r="AI54" s="1227"/>
      <c r="AJ54" s="1019"/>
      <c r="AK54" s="1218"/>
      <c r="AL54" s="1211">
        <f t="shared" si="2"/>
        <v>13361</v>
      </c>
      <c r="AM54" s="791"/>
      <c r="AN54" s="1196"/>
      <c r="AO54" s="248"/>
      <c r="AP54" s="248"/>
    </row>
    <row r="55" spans="1:42" s="247" customFormat="1" ht="30" customHeight="1" x14ac:dyDescent="0.2">
      <c r="A55" s="775"/>
      <c r="B55" s="1187" t="s">
        <v>126</v>
      </c>
      <c r="C55" s="832" t="s">
        <v>1346</v>
      </c>
      <c r="D55" s="1019"/>
      <c r="E55" s="1019"/>
      <c r="F55" s="1240"/>
      <c r="G55" s="1227"/>
      <c r="H55" s="1019"/>
      <c r="I55" s="1218"/>
      <c r="J55" s="1227"/>
      <c r="K55" s="1019"/>
      <c r="L55" s="1240"/>
      <c r="M55" s="1227"/>
      <c r="N55" s="1019"/>
      <c r="O55" s="1218"/>
      <c r="P55" s="1227">
        <v>82138</v>
      </c>
      <c r="Q55" s="1019"/>
      <c r="R55" s="1240"/>
      <c r="S55" s="1227"/>
      <c r="T55" s="1019"/>
      <c r="U55" s="1218"/>
      <c r="V55" s="1248"/>
      <c r="W55" s="1227"/>
      <c r="X55" s="1019"/>
      <c r="Y55" s="1218"/>
      <c r="Z55" s="1248"/>
      <c r="AA55" s="1227"/>
      <c r="AB55" s="1019"/>
      <c r="AC55" s="1218"/>
      <c r="AD55" s="1227"/>
      <c r="AE55" s="1218"/>
      <c r="AF55" s="1227"/>
      <c r="AG55" s="1019"/>
      <c r="AH55" s="1240"/>
      <c r="AI55" s="1227"/>
      <c r="AJ55" s="1019"/>
      <c r="AK55" s="1218"/>
      <c r="AL55" s="1211">
        <f t="shared" si="2"/>
        <v>82138</v>
      </c>
      <c r="AM55" s="791"/>
      <c r="AN55" s="1196"/>
      <c r="AO55" s="248"/>
      <c r="AP55" s="248"/>
    </row>
    <row r="56" spans="1:42" s="247" customFormat="1" ht="15" customHeight="1" x14ac:dyDescent="0.2">
      <c r="A56" s="775"/>
      <c r="B56" s="1187" t="s">
        <v>127</v>
      </c>
      <c r="C56" s="832" t="s">
        <v>993</v>
      </c>
      <c r="D56" s="1019"/>
      <c r="E56" s="1019"/>
      <c r="F56" s="1240"/>
      <c r="G56" s="1227">
        <v>10846</v>
      </c>
      <c r="H56" s="1019"/>
      <c r="I56" s="1218"/>
      <c r="J56" s="1227"/>
      <c r="K56" s="1019"/>
      <c r="L56" s="1240"/>
      <c r="M56" s="1227">
        <v>2212</v>
      </c>
      <c r="N56" s="1019"/>
      <c r="O56" s="1218"/>
      <c r="P56" s="1227">
        <v>33139</v>
      </c>
      <c r="Q56" s="1019"/>
      <c r="R56" s="1240"/>
      <c r="S56" s="1227">
        <v>122810</v>
      </c>
      <c r="T56" s="1019"/>
      <c r="U56" s="1218"/>
      <c r="V56" s="1248"/>
      <c r="W56" s="1227"/>
      <c r="X56" s="1019"/>
      <c r="Y56" s="1218"/>
      <c r="Z56" s="1248"/>
      <c r="AA56" s="1227"/>
      <c r="AB56" s="1019"/>
      <c r="AC56" s="1218"/>
      <c r="AD56" s="1227">
        <v>0</v>
      </c>
      <c r="AE56" s="1218"/>
      <c r="AF56" s="1227"/>
      <c r="AG56" s="1019"/>
      <c r="AH56" s="1240"/>
      <c r="AI56" s="1227"/>
      <c r="AJ56" s="1019"/>
      <c r="AK56" s="1218"/>
      <c r="AL56" s="1211">
        <f t="shared" si="2"/>
        <v>169007</v>
      </c>
      <c r="AM56" s="791"/>
      <c r="AN56" s="1196"/>
      <c r="AO56" s="248"/>
      <c r="AP56" s="248"/>
    </row>
    <row r="57" spans="1:42" s="247" customFormat="1" ht="21.75" customHeight="1" x14ac:dyDescent="0.2">
      <c r="A57" s="775"/>
      <c r="B57" s="1187" t="s">
        <v>128</v>
      </c>
      <c r="C57" s="832" t="s">
        <v>1097</v>
      </c>
      <c r="D57" s="1019"/>
      <c r="E57" s="1019"/>
      <c r="F57" s="1240"/>
      <c r="G57" s="1227"/>
      <c r="H57" s="1019"/>
      <c r="I57" s="1218"/>
      <c r="J57" s="1227"/>
      <c r="K57" s="1019"/>
      <c r="L57" s="1240"/>
      <c r="M57" s="1227"/>
      <c r="N57" s="1019"/>
      <c r="O57" s="1218"/>
      <c r="P57" s="1227">
        <v>294</v>
      </c>
      <c r="Q57" s="1019"/>
      <c r="R57" s="1240"/>
      <c r="S57" s="1227"/>
      <c r="T57" s="1019"/>
      <c r="U57" s="1218"/>
      <c r="V57" s="1248"/>
      <c r="W57" s="1227"/>
      <c r="X57" s="1019"/>
      <c r="Y57" s="1218"/>
      <c r="Z57" s="1248"/>
      <c r="AA57" s="1227"/>
      <c r="AB57" s="1019"/>
      <c r="AC57" s="1218"/>
      <c r="AD57" s="1227"/>
      <c r="AE57" s="1218"/>
      <c r="AF57" s="1227"/>
      <c r="AG57" s="1019"/>
      <c r="AH57" s="1240"/>
      <c r="AI57" s="1227"/>
      <c r="AJ57" s="1019"/>
      <c r="AK57" s="1218"/>
      <c r="AL57" s="1211">
        <f t="shared" si="2"/>
        <v>294</v>
      </c>
      <c r="AM57" s="791"/>
      <c r="AN57" s="1196"/>
      <c r="AO57" s="248"/>
      <c r="AP57" s="248"/>
    </row>
    <row r="58" spans="1:42" s="247" customFormat="1" ht="15" customHeight="1" x14ac:dyDescent="0.2">
      <c r="A58" s="775"/>
      <c r="B58" s="1187" t="s">
        <v>129</v>
      </c>
      <c r="C58" s="832" t="s">
        <v>1098</v>
      </c>
      <c r="D58" s="1019"/>
      <c r="E58" s="1019"/>
      <c r="F58" s="1240"/>
      <c r="G58" s="1227"/>
      <c r="H58" s="1019"/>
      <c r="I58" s="1218"/>
      <c r="J58" s="1227"/>
      <c r="K58" s="1019"/>
      <c r="L58" s="1240"/>
      <c r="M58" s="1227"/>
      <c r="N58" s="1019"/>
      <c r="O58" s="1218"/>
      <c r="P58" s="1227"/>
      <c r="Q58" s="1019"/>
      <c r="R58" s="1240"/>
      <c r="S58" s="1227">
        <v>2</v>
      </c>
      <c r="T58" s="1019"/>
      <c r="U58" s="1218"/>
      <c r="V58" s="1248"/>
      <c r="W58" s="1227"/>
      <c r="X58" s="1019"/>
      <c r="Y58" s="1218"/>
      <c r="Z58" s="1248"/>
      <c r="AA58" s="1227"/>
      <c r="AB58" s="1019"/>
      <c r="AC58" s="1218"/>
      <c r="AD58" s="1227"/>
      <c r="AE58" s="1218"/>
      <c r="AF58" s="1227"/>
      <c r="AG58" s="1019"/>
      <c r="AH58" s="1240"/>
      <c r="AI58" s="1227"/>
      <c r="AJ58" s="1019"/>
      <c r="AK58" s="1218"/>
      <c r="AL58" s="1211">
        <f t="shared" si="2"/>
        <v>2</v>
      </c>
      <c r="AM58" s="791"/>
      <c r="AN58" s="1196"/>
      <c r="AO58" s="248"/>
      <c r="AP58" s="248"/>
    </row>
    <row r="59" spans="1:42" s="247" customFormat="1" ht="15" customHeight="1" x14ac:dyDescent="0.2">
      <c r="A59" s="775"/>
      <c r="B59" s="1187" t="s">
        <v>132</v>
      </c>
      <c r="C59" s="832" t="s">
        <v>1099</v>
      </c>
      <c r="D59" s="1019"/>
      <c r="E59" s="1019"/>
      <c r="F59" s="1240"/>
      <c r="G59" s="1227"/>
      <c r="H59" s="1019"/>
      <c r="I59" s="1218"/>
      <c r="J59" s="1227"/>
      <c r="K59" s="1019"/>
      <c r="L59" s="1240"/>
      <c r="M59" s="1227"/>
      <c r="N59" s="1019"/>
      <c r="O59" s="1218"/>
      <c r="P59" s="1227"/>
      <c r="Q59" s="1019"/>
      <c r="R59" s="1240"/>
      <c r="S59" s="1227">
        <v>21874</v>
      </c>
      <c r="T59" s="1019"/>
      <c r="U59" s="1218"/>
      <c r="V59" s="1248"/>
      <c r="W59" s="1227"/>
      <c r="X59" s="1019"/>
      <c r="Y59" s="1218"/>
      <c r="Z59" s="1248"/>
      <c r="AA59" s="1227"/>
      <c r="AB59" s="1019"/>
      <c r="AC59" s="1218"/>
      <c r="AD59" s="1227"/>
      <c r="AE59" s="1218"/>
      <c r="AF59" s="1227"/>
      <c r="AG59" s="1019"/>
      <c r="AH59" s="1240"/>
      <c r="AI59" s="1227"/>
      <c r="AJ59" s="1019"/>
      <c r="AK59" s="1218"/>
      <c r="AL59" s="1211">
        <f t="shared" si="2"/>
        <v>21874</v>
      </c>
      <c r="AM59" s="791"/>
      <c r="AN59" s="1196"/>
      <c r="AO59" s="248"/>
      <c r="AP59" s="248"/>
    </row>
    <row r="60" spans="1:42" s="247" customFormat="1" ht="21" customHeight="1" x14ac:dyDescent="0.2">
      <c r="A60" s="775"/>
      <c r="B60" s="1187" t="s">
        <v>135</v>
      </c>
      <c r="C60" s="832" t="s">
        <v>1249</v>
      </c>
      <c r="D60" s="1019"/>
      <c r="E60" s="1019"/>
      <c r="F60" s="1240"/>
      <c r="G60" s="1227"/>
      <c r="H60" s="1019"/>
      <c r="I60" s="1218"/>
      <c r="J60" s="1227"/>
      <c r="K60" s="1019"/>
      <c r="L60" s="1240"/>
      <c r="M60" s="1227"/>
      <c r="N60" s="1019"/>
      <c r="O60" s="1218"/>
      <c r="P60" s="1227"/>
      <c r="Q60" s="1019"/>
      <c r="R60" s="1240"/>
      <c r="S60" s="1227">
        <v>0</v>
      </c>
      <c r="T60" s="1019"/>
      <c r="U60" s="1218"/>
      <c r="V60" s="1248"/>
      <c r="W60" s="1227"/>
      <c r="X60" s="1019"/>
      <c r="Y60" s="1218"/>
      <c r="Z60" s="1248"/>
      <c r="AA60" s="1227"/>
      <c r="AB60" s="1019"/>
      <c r="AC60" s="1218"/>
      <c r="AD60" s="1227"/>
      <c r="AE60" s="1218"/>
      <c r="AF60" s="1227"/>
      <c r="AG60" s="1019"/>
      <c r="AH60" s="1240"/>
      <c r="AI60" s="1227"/>
      <c r="AJ60" s="1019"/>
      <c r="AK60" s="1218"/>
      <c r="AL60" s="1211">
        <f t="shared" si="2"/>
        <v>0</v>
      </c>
      <c r="AM60" s="791"/>
      <c r="AN60" s="1196"/>
      <c r="AO60" s="248"/>
      <c r="AP60" s="248"/>
    </row>
    <row r="61" spans="1:42" s="247" customFormat="1" ht="21" customHeight="1" x14ac:dyDescent="0.2">
      <c r="A61" s="775"/>
      <c r="B61" s="1187" t="s">
        <v>138</v>
      </c>
      <c r="C61" s="832" t="s">
        <v>1290</v>
      </c>
      <c r="D61" s="1019"/>
      <c r="E61" s="1019"/>
      <c r="F61" s="1240"/>
      <c r="G61" s="1227"/>
      <c r="H61" s="1019"/>
      <c r="I61" s="1218"/>
      <c r="J61" s="1227"/>
      <c r="K61" s="1019"/>
      <c r="L61" s="1240"/>
      <c r="M61" s="1227"/>
      <c r="N61" s="1019"/>
      <c r="O61" s="1218"/>
      <c r="P61" s="1227"/>
      <c r="Q61" s="1019"/>
      <c r="R61" s="1240"/>
      <c r="S61" s="1227">
        <v>2540</v>
      </c>
      <c r="T61" s="1019"/>
      <c r="U61" s="1218"/>
      <c r="V61" s="1248"/>
      <c r="W61" s="1227"/>
      <c r="X61" s="1019"/>
      <c r="Y61" s="1218"/>
      <c r="Z61" s="1248"/>
      <c r="AA61" s="1227"/>
      <c r="AB61" s="1019"/>
      <c r="AC61" s="1218"/>
      <c r="AD61" s="1227"/>
      <c r="AE61" s="1218"/>
      <c r="AF61" s="1227"/>
      <c r="AG61" s="1019"/>
      <c r="AH61" s="1240"/>
      <c r="AI61" s="1227"/>
      <c r="AJ61" s="1019"/>
      <c r="AK61" s="1218"/>
      <c r="AL61" s="1211">
        <f t="shared" si="2"/>
        <v>2540</v>
      </c>
      <c r="AM61" s="791"/>
      <c r="AN61" s="1196"/>
      <c r="AO61" s="248"/>
      <c r="AP61" s="248"/>
    </row>
    <row r="62" spans="1:42" s="247" customFormat="1" ht="15" customHeight="1" x14ac:dyDescent="0.2">
      <c r="A62" s="775"/>
      <c r="B62" s="1187" t="s">
        <v>139</v>
      </c>
      <c r="C62" s="832" t="s">
        <v>1128</v>
      </c>
      <c r="D62" s="1019"/>
      <c r="E62" s="1019"/>
      <c r="F62" s="1240"/>
      <c r="G62" s="1227"/>
      <c r="H62" s="1019"/>
      <c r="I62" s="1218"/>
      <c r="J62" s="1227"/>
      <c r="K62" s="1019"/>
      <c r="L62" s="1240"/>
      <c r="M62" s="1227"/>
      <c r="N62" s="1019"/>
      <c r="O62" s="1218"/>
      <c r="P62" s="1227">
        <v>373</v>
      </c>
      <c r="Q62" s="1019"/>
      <c r="R62" s="1240"/>
      <c r="S62" s="1227"/>
      <c r="T62" s="1019"/>
      <c r="U62" s="1218"/>
      <c r="V62" s="1248"/>
      <c r="W62" s="1227"/>
      <c r="X62" s="1019"/>
      <c r="Y62" s="1218"/>
      <c r="Z62" s="1248"/>
      <c r="AA62" s="1227"/>
      <c r="AB62" s="1019"/>
      <c r="AC62" s="1218"/>
      <c r="AD62" s="1227"/>
      <c r="AE62" s="1218"/>
      <c r="AF62" s="1227"/>
      <c r="AG62" s="1019"/>
      <c r="AH62" s="1240"/>
      <c r="AI62" s="1227"/>
      <c r="AJ62" s="1019"/>
      <c r="AK62" s="1218"/>
      <c r="AL62" s="1211">
        <f t="shared" si="2"/>
        <v>373</v>
      </c>
      <c r="AM62" s="791"/>
      <c r="AN62" s="1196"/>
      <c r="AO62" s="248"/>
      <c r="AP62" s="248"/>
    </row>
    <row r="63" spans="1:42" s="247" customFormat="1" ht="15" customHeight="1" x14ac:dyDescent="0.2">
      <c r="A63" s="775"/>
      <c r="B63" s="1187" t="s">
        <v>142</v>
      </c>
      <c r="C63" s="832" t="s">
        <v>1164</v>
      </c>
      <c r="D63" s="1019"/>
      <c r="E63" s="1019"/>
      <c r="F63" s="1240"/>
      <c r="G63" s="1227"/>
      <c r="H63" s="1019"/>
      <c r="I63" s="1218"/>
      <c r="J63" s="1227"/>
      <c r="K63" s="1019"/>
      <c r="L63" s="1240"/>
      <c r="M63" s="1227"/>
      <c r="N63" s="1019"/>
      <c r="O63" s="1218"/>
      <c r="P63" s="1227"/>
      <c r="Q63" s="1019"/>
      <c r="R63" s="1240"/>
      <c r="S63" s="1227">
        <v>10115</v>
      </c>
      <c r="T63" s="1019"/>
      <c r="U63" s="1218"/>
      <c r="V63" s="1248"/>
      <c r="W63" s="1227"/>
      <c r="X63" s="1019"/>
      <c r="Y63" s="1218"/>
      <c r="Z63" s="1248"/>
      <c r="AA63" s="1227"/>
      <c r="AB63" s="1019"/>
      <c r="AC63" s="1218"/>
      <c r="AD63" s="1227"/>
      <c r="AE63" s="1218"/>
      <c r="AF63" s="1227"/>
      <c r="AG63" s="1019"/>
      <c r="AH63" s="1240"/>
      <c r="AI63" s="1227"/>
      <c r="AJ63" s="1019"/>
      <c r="AK63" s="1218"/>
      <c r="AL63" s="1211">
        <f t="shared" si="2"/>
        <v>10115</v>
      </c>
      <c r="AM63" s="791"/>
      <c r="AN63" s="1196"/>
      <c r="AO63" s="248"/>
      <c r="AP63" s="248"/>
    </row>
    <row r="64" spans="1:42" s="247" customFormat="1" ht="15" customHeight="1" x14ac:dyDescent="0.2">
      <c r="A64" s="775"/>
      <c r="B64" s="1187" t="s">
        <v>143</v>
      </c>
      <c r="C64" s="832" t="s">
        <v>1291</v>
      </c>
      <c r="D64" s="1019"/>
      <c r="E64" s="1019"/>
      <c r="F64" s="1240"/>
      <c r="G64" s="1227"/>
      <c r="H64" s="1019"/>
      <c r="I64" s="1218"/>
      <c r="J64" s="1227"/>
      <c r="K64" s="1019"/>
      <c r="L64" s="1240"/>
      <c r="M64" s="1227"/>
      <c r="N64" s="1019"/>
      <c r="O64" s="1218"/>
      <c r="P64" s="1227">
        <v>1116</v>
      </c>
      <c r="Q64" s="1019"/>
      <c r="R64" s="1240"/>
      <c r="S64" s="1227"/>
      <c r="T64" s="1019"/>
      <c r="U64" s="1218"/>
      <c r="V64" s="1248"/>
      <c r="W64" s="1227"/>
      <c r="X64" s="1019"/>
      <c r="Y64" s="1218"/>
      <c r="Z64" s="1248"/>
      <c r="AA64" s="1227"/>
      <c r="AB64" s="1019"/>
      <c r="AC64" s="1218"/>
      <c r="AD64" s="1227"/>
      <c r="AE64" s="1218"/>
      <c r="AF64" s="1227"/>
      <c r="AG64" s="1019"/>
      <c r="AH64" s="1240"/>
      <c r="AI64" s="1227"/>
      <c r="AJ64" s="1019"/>
      <c r="AK64" s="1218"/>
      <c r="AL64" s="1211">
        <f t="shared" si="2"/>
        <v>1116</v>
      </c>
      <c r="AM64" s="791"/>
      <c r="AN64" s="1196"/>
      <c r="AO64" s="248"/>
      <c r="AP64" s="248"/>
    </row>
    <row r="65" spans="1:42" s="247" customFormat="1" ht="22.5" customHeight="1" x14ac:dyDescent="0.2">
      <c r="A65" s="775"/>
      <c r="B65" s="1187" t="s">
        <v>144</v>
      </c>
      <c r="C65" s="832" t="s">
        <v>1327</v>
      </c>
      <c r="D65" s="1019">
        <v>5145</v>
      </c>
      <c r="E65" s="1019"/>
      <c r="F65" s="1240"/>
      <c r="G65" s="1227"/>
      <c r="H65" s="1019"/>
      <c r="I65" s="1218"/>
      <c r="J65" s="1227">
        <v>1389</v>
      </c>
      <c r="K65" s="1019"/>
      <c r="L65" s="1240"/>
      <c r="M65" s="1227"/>
      <c r="N65" s="1019"/>
      <c r="O65" s="1218"/>
      <c r="P65" s="1227">
        <v>6553</v>
      </c>
      <c r="Q65" s="1019"/>
      <c r="R65" s="1240"/>
      <c r="S65" s="1227"/>
      <c r="T65" s="1019"/>
      <c r="U65" s="1218"/>
      <c r="V65" s="1248"/>
      <c r="W65" s="1227"/>
      <c r="X65" s="1019"/>
      <c r="Y65" s="1218"/>
      <c r="Z65" s="1248"/>
      <c r="AA65" s="1227"/>
      <c r="AB65" s="1019"/>
      <c r="AC65" s="1218"/>
      <c r="AD65" s="1227"/>
      <c r="AE65" s="1218"/>
      <c r="AF65" s="1227"/>
      <c r="AG65" s="1019"/>
      <c r="AH65" s="1240"/>
      <c r="AI65" s="1227"/>
      <c r="AJ65" s="1019"/>
      <c r="AK65" s="1218"/>
      <c r="AL65" s="1211">
        <f t="shared" si="2"/>
        <v>13087</v>
      </c>
      <c r="AM65" s="791"/>
      <c r="AN65" s="1196"/>
      <c r="AO65" s="248"/>
      <c r="AP65" s="248"/>
    </row>
    <row r="66" spans="1:42" s="247" customFormat="1" ht="15" customHeight="1" x14ac:dyDescent="0.2">
      <c r="A66" s="775"/>
      <c r="B66" s="1187" t="s">
        <v>145</v>
      </c>
      <c r="C66" s="832" t="s">
        <v>1330</v>
      </c>
      <c r="D66" s="1019"/>
      <c r="E66" s="1019"/>
      <c r="F66" s="1240"/>
      <c r="G66" s="1227"/>
      <c r="H66" s="1019"/>
      <c r="I66" s="1218"/>
      <c r="J66" s="1227"/>
      <c r="K66" s="1019"/>
      <c r="L66" s="1240"/>
      <c r="M66" s="1227"/>
      <c r="N66" s="1019"/>
      <c r="O66" s="1218"/>
      <c r="P66" s="1227"/>
      <c r="Q66" s="1019"/>
      <c r="R66" s="1240"/>
      <c r="S66" s="1227">
        <v>6797</v>
      </c>
      <c r="T66" s="1019"/>
      <c r="U66" s="1218"/>
      <c r="V66" s="1248"/>
      <c r="W66" s="1227"/>
      <c r="X66" s="1019"/>
      <c r="Y66" s="1218"/>
      <c r="Z66" s="1248"/>
      <c r="AA66" s="1227"/>
      <c r="AB66" s="1019"/>
      <c r="AC66" s="1218"/>
      <c r="AD66" s="1227"/>
      <c r="AE66" s="1218"/>
      <c r="AF66" s="1227"/>
      <c r="AG66" s="1019"/>
      <c r="AH66" s="1240"/>
      <c r="AI66" s="1227"/>
      <c r="AJ66" s="1019"/>
      <c r="AK66" s="1218"/>
      <c r="AL66" s="1211">
        <f t="shared" si="2"/>
        <v>6797</v>
      </c>
      <c r="AM66" s="791"/>
      <c r="AN66" s="1196"/>
      <c r="AO66" s="248"/>
      <c r="AP66" s="248"/>
    </row>
    <row r="67" spans="1:42" s="247" customFormat="1" ht="21" customHeight="1" x14ac:dyDescent="0.2">
      <c r="A67" s="775"/>
      <c r="B67" s="1187" t="s">
        <v>146</v>
      </c>
      <c r="C67" s="832" t="s">
        <v>1389</v>
      </c>
      <c r="D67" s="1019"/>
      <c r="E67" s="1019"/>
      <c r="F67" s="1240"/>
      <c r="G67" s="1227"/>
      <c r="H67" s="1019"/>
      <c r="I67" s="1218"/>
      <c r="J67" s="1227"/>
      <c r="K67" s="1019"/>
      <c r="L67" s="1240"/>
      <c r="M67" s="1227"/>
      <c r="N67" s="1019"/>
      <c r="O67" s="1218"/>
      <c r="P67" s="1227">
        <v>3820</v>
      </c>
      <c r="Q67" s="1019"/>
      <c r="R67" s="1240"/>
      <c r="S67" s="1227"/>
      <c r="T67" s="1019"/>
      <c r="U67" s="1218"/>
      <c r="V67" s="1248"/>
      <c r="W67" s="1227"/>
      <c r="X67" s="1019"/>
      <c r="Y67" s="1218"/>
      <c r="Z67" s="1248"/>
      <c r="AA67" s="1227"/>
      <c r="AB67" s="1019"/>
      <c r="AC67" s="1218"/>
      <c r="AD67" s="1227"/>
      <c r="AE67" s="1218"/>
      <c r="AF67" s="1227"/>
      <c r="AG67" s="1019"/>
      <c r="AH67" s="1240"/>
      <c r="AI67" s="1227"/>
      <c r="AJ67" s="1019"/>
      <c r="AK67" s="1218"/>
      <c r="AL67" s="1211">
        <f t="shared" si="2"/>
        <v>3820</v>
      </c>
      <c r="AM67" s="791"/>
      <c r="AN67" s="1196"/>
      <c r="AO67" s="248"/>
      <c r="AP67" s="248"/>
    </row>
    <row r="68" spans="1:42" s="247" customFormat="1" ht="20.25" customHeight="1" x14ac:dyDescent="0.2">
      <c r="A68" s="775"/>
      <c r="B68" s="1187" t="s">
        <v>148</v>
      </c>
      <c r="C68" s="832" t="s">
        <v>1390</v>
      </c>
      <c r="D68" s="1019"/>
      <c r="E68" s="1019"/>
      <c r="F68" s="1240"/>
      <c r="G68" s="1227"/>
      <c r="H68" s="1019"/>
      <c r="I68" s="1218"/>
      <c r="J68" s="1227"/>
      <c r="K68" s="1019"/>
      <c r="L68" s="1240"/>
      <c r="M68" s="1227"/>
      <c r="N68" s="1019"/>
      <c r="O68" s="1218"/>
      <c r="P68" s="1227">
        <v>890</v>
      </c>
      <c r="Q68" s="1019"/>
      <c r="R68" s="1240"/>
      <c r="S68" s="1227"/>
      <c r="T68" s="1019"/>
      <c r="U68" s="1218"/>
      <c r="V68" s="1248"/>
      <c r="W68" s="1227"/>
      <c r="X68" s="1019"/>
      <c r="Y68" s="1218"/>
      <c r="Z68" s="1248"/>
      <c r="AA68" s="1227"/>
      <c r="AB68" s="1019"/>
      <c r="AC68" s="1218"/>
      <c r="AD68" s="1227"/>
      <c r="AE68" s="1218"/>
      <c r="AF68" s="1227"/>
      <c r="AG68" s="1019"/>
      <c r="AH68" s="1240"/>
      <c r="AI68" s="1227"/>
      <c r="AJ68" s="1019"/>
      <c r="AK68" s="1218"/>
      <c r="AL68" s="1211">
        <f t="shared" si="2"/>
        <v>890</v>
      </c>
      <c r="AM68" s="791"/>
      <c r="AN68" s="1196"/>
      <c r="AO68" s="248"/>
      <c r="AP68" s="248"/>
    </row>
    <row r="69" spans="1:42" s="247" customFormat="1" ht="21" customHeight="1" x14ac:dyDescent="0.2">
      <c r="A69" s="775"/>
      <c r="B69" s="1187" t="s">
        <v>151</v>
      </c>
      <c r="C69" s="832" t="s">
        <v>1391</v>
      </c>
      <c r="D69" s="1019"/>
      <c r="E69" s="1019"/>
      <c r="F69" s="1240"/>
      <c r="G69" s="1227"/>
      <c r="H69" s="1019"/>
      <c r="I69" s="1218"/>
      <c r="J69" s="1227"/>
      <c r="K69" s="1019"/>
      <c r="L69" s="1240"/>
      <c r="M69" s="1227"/>
      <c r="N69" s="1019"/>
      <c r="O69" s="1218"/>
      <c r="P69" s="1227">
        <v>28829</v>
      </c>
      <c r="Q69" s="1019"/>
      <c r="R69" s="1240"/>
      <c r="S69" s="1227"/>
      <c r="T69" s="1019"/>
      <c r="U69" s="1218"/>
      <c r="V69" s="1248"/>
      <c r="W69" s="1227"/>
      <c r="X69" s="1019"/>
      <c r="Y69" s="1218"/>
      <c r="Z69" s="1248"/>
      <c r="AA69" s="1227"/>
      <c r="AB69" s="1019"/>
      <c r="AC69" s="1218"/>
      <c r="AD69" s="1227"/>
      <c r="AE69" s="1218"/>
      <c r="AF69" s="1227"/>
      <c r="AG69" s="1019"/>
      <c r="AH69" s="1240"/>
      <c r="AI69" s="1227"/>
      <c r="AJ69" s="1019"/>
      <c r="AK69" s="1218"/>
      <c r="AL69" s="1211">
        <f t="shared" si="2"/>
        <v>28829</v>
      </c>
      <c r="AM69" s="791"/>
      <c r="AN69" s="1196"/>
      <c r="AO69" s="248"/>
      <c r="AP69" s="248"/>
    </row>
    <row r="70" spans="1:42" s="247" customFormat="1" ht="15" customHeight="1" x14ac:dyDescent="0.2">
      <c r="A70" s="775"/>
      <c r="B70" s="1187" t="s">
        <v>153</v>
      </c>
      <c r="C70" s="832" t="s">
        <v>1392</v>
      </c>
      <c r="D70" s="1019"/>
      <c r="E70" s="1019"/>
      <c r="F70" s="1240"/>
      <c r="G70" s="1227"/>
      <c r="H70" s="1019"/>
      <c r="I70" s="1218"/>
      <c r="J70" s="1227"/>
      <c r="K70" s="1019"/>
      <c r="L70" s="1240"/>
      <c r="M70" s="1227"/>
      <c r="N70" s="1019"/>
      <c r="O70" s="1218"/>
      <c r="P70" s="1227"/>
      <c r="Q70" s="1019"/>
      <c r="R70" s="1240"/>
      <c r="S70" s="1227"/>
      <c r="T70" s="1019"/>
      <c r="U70" s="1218"/>
      <c r="V70" s="1248">
        <v>3913</v>
      </c>
      <c r="W70" s="1227"/>
      <c r="X70" s="1019"/>
      <c r="Y70" s="1218"/>
      <c r="Z70" s="1248">
        <v>19268</v>
      </c>
      <c r="AA70" s="1227"/>
      <c r="AB70" s="1019"/>
      <c r="AC70" s="1218"/>
      <c r="AD70" s="1227"/>
      <c r="AE70" s="1218"/>
      <c r="AF70" s="1227"/>
      <c r="AG70" s="1019"/>
      <c r="AH70" s="1240"/>
      <c r="AI70" s="1227"/>
      <c r="AJ70" s="1019"/>
      <c r="AK70" s="1218"/>
      <c r="AL70" s="1211">
        <f t="shared" si="2"/>
        <v>23181</v>
      </c>
      <c r="AM70" s="791"/>
      <c r="AN70" s="1196"/>
      <c r="AO70" s="248"/>
      <c r="AP70" s="248"/>
    </row>
    <row r="71" spans="1:42" s="247" customFormat="1" ht="23.25" customHeight="1" x14ac:dyDescent="0.2">
      <c r="A71" s="775"/>
      <c r="B71" s="1187" t="s">
        <v>154</v>
      </c>
      <c r="C71" s="832" t="s">
        <v>1393</v>
      </c>
      <c r="D71" s="1019"/>
      <c r="E71" s="1019"/>
      <c r="F71" s="1240"/>
      <c r="G71" s="1227"/>
      <c r="H71" s="1019"/>
      <c r="I71" s="1218"/>
      <c r="J71" s="1227"/>
      <c r="K71" s="1019"/>
      <c r="L71" s="1240"/>
      <c r="M71" s="1227"/>
      <c r="N71" s="1019"/>
      <c r="O71" s="1218"/>
      <c r="P71" s="1227">
        <v>1640</v>
      </c>
      <c r="Q71" s="1019"/>
      <c r="R71" s="1240"/>
      <c r="S71" s="1227"/>
      <c r="T71" s="1019"/>
      <c r="U71" s="1218"/>
      <c r="V71" s="1248"/>
      <c r="W71" s="1227"/>
      <c r="X71" s="1019"/>
      <c r="Y71" s="1218"/>
      <c r="Z71" s="1248"/>
      <c r="AA71" s="1227"/>
      <c r="AB71" s="1019"/>
      <c r="AC71" s="1218"/>
      <c r="AD71" s="1227"/>
      <c r="AE71" s="1218"/>
      <c r="AF71" s="1227"/>
      <c r="AG71" s="1019"/>
      <c r="AH71" s="1240"/>
      <c r="AI71" s="1227"/>
      <c r="AJ71" s="1019"/>
      <c r="AK71" s="1218"/>
      <c r="AL71" s="1211">
        <f t="shared" si="2"/>
        <v>1640</v>
      </c>
      <c r="AM71" s="791"/>
      <c r="AN71" s="1196"/>
      <c r="AO71" s="248"/>
      <c r="AP71" s="248"/>
    </row>
    <row r="72" spans="1:42" s="247" customFormat="1" ht="23.25" customHeight="1" x14ac:dyDescent="0.2">
      <c r="A72" s="775"/>
      <c r="B72" s="1187"/>
      <c r="C72" s="832"/>
      <c r="D72" s="1019"/>
      <c r="E72" s="1019"/>
      <c r="F72" s="1240"/>
      <c r="G72" s="1227"/>
      <c r="H72" s="1019"/>
      <c r="I72" s="1218"/>
      <c r="J72" s="1227"/>
      <c r="K72" s="1019"/>
      <c r="L72" s="1240"/>
      <c r="M72" s="1227"/>
      <c r="N72" s="1019"/>
      <c r="O72" s="1218"/>
      <c r="P72" s="1227"/>
      <c r="Q72" s="1019"/>
      <c r="R72" s="1240"/>
      <c r="S72" s="1227"/>
      <c r="T72" s="1019"/>
      <c r="U72" s="1218"/>
      <c r="V72" s="1248"/>
      <c r="W72" s="1227"/>
      <c r="X72" s="1019"/>
      <c r="Y72" s="1218"/>
      <c r="Z72" s="1248"/>
      <c r="AA72" s="1227"/>
      <c r="AB72" s="1019"/>
      <c r="AC72" s="1218"/>
      <c r="AD72" s="1227"/>
      <c r="AE72" s="1218"/>
      <c r="AF72" s="1227"/>
      <c r="AG72" s="1019"/>
      <c r="AH72" s="1240"/>
      <c r="AI72" s="1227"/>
      <c r="AJ72" s="1019"/>
      <c r="AK72" s="1218"/>
      <c r="AL72" s="1211"/>
      <c r="AM72" s="791"/>
      <c r="AN72" s="1196"/>
      <c r="AO72" s="248"/>
      <c r="AP72" s="248"/>
    </row>
    <row r="73" spans="1:42" s="247" customFormat="1" ht="23.25" customHeight="1" thickBot="1" x14ac:dyDescent="0.25">
      <c r="A73" s="775"/>
      <c r="B73" s="1204"/>
      <c r="C73" s="1205"/>
      <c r="D73" s="1206"/>
      <c r="E73" s="1206"/>
      <c r="F73" s="1242"/>
      <c r="G73" s="1229"/>
      <c r="H73" s="1206"/>
      <c r="I73" s="1222"/>
      <c r="J73" s="1229"/>
      <c r="K73" s="1206"/>
      <c r="L73" s="1242"/>
      <c r="M73" s="1229"/>
      <c r="N73" s="1206"/>
      <c r="O73" s="1222"/>
      <c r="P73" s="1229"/>
      <c r="Q73" s="1206"/>
      <c r="R73" s="1242"/>
      <c r="S73" s="1229"/>
      <c r="T73" s="1206"/>
      <c r="U73" s="1222"/>
      <c r="V73" s="1250"/>
      <c r="W73" s="1229"/>
      <c r="X73" s="1206"/>
      <c r="Y73" s="1222"/>
      <c r="Z73" s="1250"/>
      <c r="AA73" s="1229"/>
      <c r="AB73" s="1206"/>
      <c r="AC73" s="1222"/>
      <c r="AD73" s="1229"/>
      <c r="AE73" s="1222"/>
      <c r="AF73" s="1229"/>
      <c r="AG73" s="1206"/>
      <c r="AH73" s="1242"/>
      <c r="AI73" s="1229"/>
      <c r="AJ73" s="1206"/>
      <c r="AK73" s="1222"/>
      <c r="AL73" s="1221"/>
      <c r="AM73" s="1207"/>
      <c r="AN73" s="1208"/>
      <c r="AO73" s="248"/>
      <c r="AP73" s="248"/>
    </row>
    <row r="74" spans="1:42" ht="15.6" customHeight="1" thickBot="1" x14ac:dyDescent="0.25">
      <c r="B74" s="1581" t="s">
        <v>594</v>
      </c>
      <c r="C74" s="1582"/>
      <c r="D74" s="223">
        <f>SUM(D10:D71)</f>
        <v>58767</v>
      </c>
      <c r="E74" s="223"/>
      <c r="F74" s="1176"/>
      <c r="G74" s="362">
        <f>SUM(G10:G71)</f>
        <v>40570</v>
      </c>
      <c r="H74" s="223"/>
      <c r="I74" s="236"/>
      <c r="J74" s="362">
        <f>SUM(J10:J71)</f>
        <v>17109</v>
      </c>
      <c r="K74" s="223"/>
      <c r="L74" s="1176"/>
      <c r="M74" s="362">
        <f>SUM(M10:M71)</f>
        <v>13588</v>
      </c>
      <c r="N74" s="223"/>
      <c r="O74" s="236"/>
      <c r="P74" s="362">
        <f>SUM(P10:P71)</f>
        <v>355594</v>
      </c>
      <c r="Q74" s="223"/>
      <c r="R74" s="1176"/>
      <c r="S74" s="362">
        <f>SUM(S10:S71)</f>
        <v>311464</v>
      </c>
      <c r="T74" s="223"/>
      <c r="U74" s="236"/>
      <c r="V74" s="1251">
        <f>SUM(V10:V71)</f>
        <v>9763</v>
      </c>
      <c r="W74" s="362">
        <f>SUM(W10:W71)</f>
        <v>58216</v>
      </c>
      <c r="X74" s="223"/>
      <c r="Y74" s="236"/>
      <c r="Z74" s="1251">
        <f>SUM(Z10:Z71)</f>
        <v>159080</v>
      </c>
      <c r="AA74" s="362">
        <f>SUM(AA10:AA71)</f>
        <v>177206</v>
      </c>
      <c r="AB74" s="223"/>
      <c r="AC74" s="236"/>
      <c r="AD74" s="362">
        <f>SUM(AD10:AD71)</f>
        <v>0</v>
      </c>
      <c r="AE74" s="236">
        <f>SUM(AE10:AE71)</f>
        <v>0</v>
      </c>
      <c r="AF74" s="362">
        <f>SUM(AF10:AF71)</f>
        <v>2689</v>
      </c>
      <c r="AG74" s="223"/>
      <c r="AH74" s="1176"/>
      <c r="AI74" s="362">
        <f>SUM(AI10:AI71)</f>
        <v>10950</v>
      </c>
      <c r="AJ74" s="223"/>
      <c r="AK74" s="236"/>
      <c r="AL74" s="362">
        <f>SUM(AL10:AL71)</f>
        <v>1214996</v>
      </c>
      <c r="AM74" s="1209"/>
      <c r="AN74" s="1210"/>
    </row>
    <row r="75" spans="1:42" x14ac:dyDescent="0.2">
      <c r="AM75" s="255"/>
    </row>
    <row r="79" spans="1:42" x14ac:dyDescent="0.2">
      <c r="AM79" s="252"/>
    </row>
    <row r="80" spans="1:42" x14ac:dyDescent="0.2">
      <c r="AM80" s="252"/>
    </row>
    <row r="84" spans="26:26" x14ac:dyDescent="0.2">
      <c r="Z84" s="251"/>
    </row>
  </sheetData>
  <sheetProtection selectLockedCells="1" selectUnlockedCells="1"/>
  <mergeCells count="26">
    <mergeCell ref="B1:AL1"/>
    <mergeCell ref="B2:AL2"/>
    <mergeCell ref="B3:AL3"/>
    <mergeCell ref="B5:B9"/>
    <mergeCell ref="D5:G5"/>
    <mergeCell ref="AD7:AE8"/>
    <mergeCell ref="P5:S5"/>
    <mergeCell ref="AL7:AL9"/>
    <mergeCell ref="C4:AL4"/>
    <mergeCell ref="Z5:AA5"/>
    <mergeCell ref="C7:C9"/>
    <mergeCell ref="AM7:AM9"/>
    <mergeCell ref="AN7:AN9"/>
    <mergeCell ref="AL5:AN5"/>
    <mergeCell ref="D6:AN6"/>
    <mergeCell ref="B74:C74"/>
    <mergeCell ref="AD5:AE5"/>
    <mergeCell ref="V5:W5"/>
    <mergeCell ref="J5:M5"/>
    <mergeCell ref="D7:I8"/>
    <mergeCell ref="J7:O8"/>
    <mergeCell ref="P7:U8"/>
    <mergeCell ref="Z7:AC8"/>
    <mergeCell ref="V7:Y8"/>
    <mergeCell ref="AF7:AK8"/>
    <mergeCell ref="AF5:AI5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82" firstPageNumber="0" fitToHeight="2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O40"/>
  <sheetViews>
    <sheetView topLeftCell="A14" workbookViewId="0">
      <selection activeCell="B29" sqref="B29:O29"/>
    </sheetView>
  </sheetViews>
  <sheetFormatPr defaultColWidth="9.140625" defaultRowHeight="18" customHeight="1" x14ac:dyDescent="0.25"/>
  <cols>
    <col min="1" max="1" width="6.140625" style="28" customWidth="1"/>
    <col min="2" max="3" width="3.5703125" style="17" customWidth="1"/>
    <col min="4" max="4" width="41.5703125" style="22" customWidth="1"/>
    <col min="5" max="5" width="12.28515625" style="17" customWidth="1"/>
    <col min="6" max="6" width="11" style="17" customWidth="1"/>
    <col min="7" max="7" width="14" style="17" customWidth="1"/>
    <col min="8" max="9" width="0" style="218" hidden="1" customWidth="1"/>
    <col min="10" max="10" width="9.42578125" style="28" hidden="1" customWidth="1"/>
    <col min="11" max="16384" width="9.140625" style="28"/>
  </cols>
  <sheetData>
    <row r="1" spans="2:15" ht="18" customHeight="1" x14ac:dyDescent="0.25">
      <c r="B1" s="1615" t="s">
        <v>1351</v>
      </c>
      <c r="C1" s="1616"/>
      <c r="D1" s="1616"/>
      <c r="E1" s="1616"/>
      <c r="F1" s="1616"/>
      <c r="G1" s="1616"/>
      <c r="H1" s="1617"/>
      <c r="I1" s="1617"/>
      <c r="J1" s="1617"/>
    </row>
    <row r="2" spans="2:15" ht="18" customHeight="1" x14ac:dyDescent="0.25">
      <c r="N2" s="746"/>
    </row>
    <row r="3" spans="2:15" ht="15.75" customHeight="1" x14ac:dyDescent="0.25">
      <c r="B3" s="1527" t="s">
        <v>77</v>
      </c>
      <c r="C3" s="1527"/>
      <c r="D3" s="1527"/>
      <c r="E3" s="1527"/>
      <c r="F3" s="1527"/>
      <c r="G3" s="1527"/>
      <c r="H3" s="1456"/>
      <c r="I3" s="1456"/>
      <c r="J3" s="1456"/>
    </row>
    <row r="4" spans="2:15" ht="15.75" customHeight="1" x14ac:dyDescent="0.25">
      <c r="B4" s="1627" t="s">
        <v>1157</v>
      </c>
      <c r="C4" s="1628"/>
      <c r="D4" s="1628"/>
      <c r="E4" s="1628"/>
      <c r="F4" s="1628"/>
      <c r="G4" s="1628"/>
    </row>
    <row r="5" spans="2:15" ht="15.75" customHeight="1" x14ac:dyDescent="0.25">
      <c r="B5" s="1527" t="s">
        <v>924</v>
      </c>
      <c r="C5" s="1527"/>
      <c r="D5" s="1527"/>
      <c r="E5" s="1527"/>
      <c r="F5" s="1527"/>
      <c r="G5" s="1527"/>
      <c r="H5" s="1456"/>
      <c r="I5" s="1456"/>
      <c r="J5" s="1456"/>
    </row>
    <row r="6" spans="2:15" s="30" customFormat="1" ht="14.25" customHeight="1" x14ac:dyDescent="0.25">
      <c r="B6" s="1619" t="s">
        <v>314</v>
      </c>
      <c r="C6" s="1619"/>
      <c r="D6" s="1619"/>
      <c r="E6" s="1619"/>
      <c r="F6" s="1619"/>
      <c r="G6" s="1619"/>
      <c r="H6" s="1456"/>
      <c r="I6" s="1456"/>
      <c r="J6" s="1456"/>
    </row>
    <row r="7" spans="2:15" s="30" customFormat="1" ht="14.25" customHeight="1" x14ac:dyDescent="0.25">
      <c r="B7" s="25"/>
      <c r="C7" s="175"/>
      <c r="D7" s="176"/>
      <c r="E7" s="25"/>
      <c r="F7" s="25"/>
      <c r="G7" s="25"/>
    </row>
    <row r="8" spans="2:15" ht="30.6" customHeight="1" x14ac:dyDescent="0.25">
      <c r="B8" s="1620" t="s">
        <v>469</v>
      </c>
      <c r="C8" s="1622" t="s">
        <v>57</v>
      </c>
      <c r="D8" s="1622"/>
      <c r="E8" s="20" t="s">
        <v>58</v>
      </c>
      <c r="F8" s="20" t="s">
        <v>59</v>
      </c>
      <c r="G8" s="20" t="s">
        <v>60</v>
      </c>
      <c r="H8" s="28"/>
      <c r="I8" s="28"/>
    </row>
    <row r="9" spans="2:15" ht="30" customHeight="1" x14ac:dyDescent="0.25">
      <c r="B9" s="1621"/>
      <c r="C9" s="1623" t="s">
        <v>528</v>
      </c>
      <c r="D9" s="1623"/>
      <c r="E9" s="1626" t="s">
        <v>1159</v>
      </c>
      <c r="F9" s="1626"/>
      <c r="G9" s="1626"/>
      <c r="H9" s="28"/>
      <c r="I9" s="28"/>
      <c r="K9" s="1403" t="s">
        <v>1400</v>
      </c>
      <c r="L9" s="1403"/>
      <c r="M9" s="1403" t="s">
        <v>1399</v>
      </c>
      <c r="N9" s="1403"/>
      <c r="O9" s="1403"/>
    </row>
    <row r="10" spans="2:15" ht="52.9" customHeight="1" x14ac:dyDescent="0.25">
      <c r="B10" s="1621"/>
      <c r="C10" s="1624"/>
      <c r="D10" s="1625"/>
      <c r="E10" s="1252" t="s">
        <v>62</v>
      </c>
      <c r="F10" s="1252" t="s">
        <v>63</v>
      </c>
      <c r="G10" s="1252" t="s">
        <v>64</v>
      </c>
      <c r="H10" s="28"/>
      <c r="I10" s="28"/>
      <c r="K10" s="822" t="s">
        <v>62</v>
      </c>
      <c r="L10" s="822" t="s">
        <v>63</v>
      </c>
      <c r="M10" s="822" t="s">
        <v>62</v>
      </c>
      <c r="N10" s="822" t="s">
        <v>63</v>
      </c>
      <c r="O10" s="822" t="s">
        <v>64</v>
      </c>
    </row>
    <row r="11" spans="2:15" ht="23.25" customHeight="1" x14ac:dyDescent="0.25">
      <c r="B11" s="1253" t="s">
        <v>479</v>
      </c>
      <c r="C11" s="1618" t="s">
        <v>595</v>
      </c>
      <c r="D11" s="1618"/>
      <c r="E11" s="1011"/>
      <c r="F11" s="1011"/>
      <c r="G11" s="1011"/>
      <c r="H11" s="1254"/>
      <c r="I11" s="1254"/>
      <c r="J11" s="1254"/>
      <c r="K11" s="1254"/>
      <c r="L11" s="1254"/>
      <c r="M11" s="1254"/>
      <c r="N11" s="1254"/>
      <c r="O11" s="1254"/>
    </row>
    <row r="12" spans="2:15" ht="18" customHeight="1" x14ac:dyDescent="0.25">
      <c r="B12" s="1253" t="s">
        <v>487</v>
      </c>
      <c r="C12" s="1255" t="s">
        <v>560</v>
      </c>
      <c r="D12" s="1256"/>
      <c r="E12" s="1011"/>
      <c r="F12" s="1011"/>
      <c r="G12" s="1011"/>
      <c r="H12" s="1254"/>
      <c r="I12" s="1254"/>
      <c r="J12" s="1254"/>
      <c r="K12" s="1254"/>
      <c r="L12" s="1254"/>
      <c r="M12" s="1254"/>
      <c r="N12" s="1254"/>
      <c r="O12" s="1254"/>
    </row>
    <row r="13" spans="2:15" ht="18" customHeight="1" x14ac:dyDescent="0.25">
      <c r="B13" s="1253" t="s">
        <v>489</v>
      </c>
      <c r="C13" s="1257"/>
      <c r="D13" s="1258" t="s">
        <v>921</v>
      </c>
      <c r="E13" s="1011">
        <v>0</v>
      </c>
      <c r="F13" s="1011">
        <v>500</v>
      </c>
      <c r="G13" s="1011">
        <f>SUM(E13:F13)</f>
        <v>500</v>
      </c>
      <c r="H13" s="1254"/>
      <c r="I13" s="1254"/>
      <c r="J13" s="1254"/>
      <c r="K13" s="1254"/>
      <c r="L13" s="1254"/>
      <c r="M13" s="1254"/>
      <c r="N13" s="1254"/>
      <c r="O13" s="1254"/>
    </row>
    <row r="14" spans="2:15" ht="18" customHeight="1" x14ac:dyDescent="0.25">
      <c r="B14" s="1253" t="s">
        <v>490</v>
      </c>
      <c r="C14" s="1257"/>
      <c r="D14" s="1012" t="s">
        <v>560</v>
      </c>
      <c r="E14" s="1011"/>
      <c r="F14" s="996">
        <v>0</v>
      </c>
      <c r="G14" s="1011">
        <f>SUM(E14:F14)</f>
        <v>0</v>
      </c>
      <c r="H14" s="1254"/>
      <c r="I14" s="1254"/>
      <c r="J14" s="1254"/>
      <c r="K14" s="1254"/>
      <c r="L14" s="1254"/>
      <c r="M14" s="1254"/>
      <c r="N14" s="1254"/>
      <c r="O14" s="1254"/>
    </row>
    <row r="15" spans="2:15" ht="18" customHeight="1" x14ac:dyDescent="0.25">
      <c r="B15" s="1253" t="s">
        <v>491</v>
      </c>
      <c r="C15" s="1257"/>
      <c r="D15" s="1012" t="s">
        <v>971</v>
      </c>
      <c r="E15" s="1011"/>
      <c r="F15" s="996">
        <v>600</v>
      </c>
      <c r="G15" s="1011">
        <f>SUM(E15:F15)</f>
        <v>600</v>
      </c>
      <c r="H15" s="1254"/>
      <c r="I15" s="1254"/>
      <c r="J15" s="1254"/>
      <c r="K15" s="1254"/>
      <c r="L15" s="1254"/>
      <c r="M15" s="1254"/>
      <c r="N15" s="1254"/>
      <c r="O15" s="1254"/>
    </row>
    <row r="16" spans="2:15" ht="18" customHeight="1" x14ac:dyDescent="0.25">
      <c r="B16" s="1253" t="s">
        <v>492</v>
      </c>
      <c r="C16" s="1257"/>
      <c r="D16" s="1012" t="s">
        <v>972</v>
      </c>
      <c r="E16" s="1011"/>
      <c r="F16" s="996">
        <v>800</v>
      </c>
      <c r="G16" s="1011">
        <f t="shared" ref="G16:G20" si="0">SUM(E16:F16)</f>
        <v>800</v>
      </c>
      <c r="H16" s="1254"/>
      <c r="I16" s="1254"/>
      <c r="J16" s="1254"/>
      <c r="K16" s="1254"/>
      <c r="L16" s="1254"/>
      <c r="M16" s="1254"/>
      <c r="N16" s="1254"/>
      <c r="O16" s="1254"/>
    </row>
    <row r="17" spans="2:15" ht="18" customHeight="1" x14ac:dyDescent="0.25">
      <c r="B17" s="1253" t="s">
        <v>493</v>
      </c>
      <c r="C17" s="1257"/>
      <c r="D17" s="1012" t="s">
        <v>973</v>
      </c>
      <c r="E17" s="1011"/>
      <c r="F17" s="996">
        <v>1000</v>
      </c>
      <c r="G17" s="1011">
        <f t="shared" si="0"/>
        <v>1000</v>
      </c>
      <c r="H17" s="1254"/>
      <c r="I17" s="1254"/>
      <c r="J17" s="1254"/>
      <c r="K17" s="1254"/>
      <c r="L17" s="1254"/>
      <c r="M17" s="1254"/>
      <c r="N17" s="1254"/>
      <c r="O17" s="1254"/>
    </row>
    <row r="18" spans="2:15" ht="18" customHeight="1" x14ac:dyDescent="0.25">
      <c r="B18" s="1253" t="s">
        <v>494</v>
      </c>
      <c r="C18" s="1257"/>
      <c r="D18" s="1012" t="s">
        <v>974</v>
      </c>
      <c r="E18" s="1011"/>
      <c r="F18" s="996">
        <v>600</v>
      </c>
      <c r="G18" s="1011">
        <f t="shared" si="0"/>
        <v>600</v>
      </c>
      <c r="H18" s="1254"/>
      <c r="I18" s="1254"/>
      <c r="J18" s="1254"/>
      <c r="K18" s="1254"/>
      <c r="L18" s="1254"/>
      <c r="M18" s="1254"/>
      <c r="N18" s="1254"/>
      <c r="O18" s="1254"/>
    </row>
    <row r="19" spans="2:15" ht="18" customHeight="1" x14ac:dyDescent="0.25">
      <c r="B19" s="1253" t="s">
        <v>530</v>
      </c>
      <c r="C19" s="1257"/>
      <c r="D19" s="1012" t="s">
        <v>975</v>
      </c>
      <c r="E19" s="1011">
        <v>2300</v>
      </c>
      <c r="F19" s="996">
        <v>0</v>
      </c>
      <c r="G19" s="1011">
        <f t="shared" si="0"/>
        <v>2300</v>
      </c>
      <c r="H19" s="1254"/>
      <c r="I19" s="1254"/>
      <c r="J19" s="1254"/>
      <c r="K19" s="1254"/>
      <c r="L19" s="1254"/>
      <c r="M19" s="1254"/>
      <c r="N19" s="1254"/>
      <c r="O19" s="1254"/>
    </row>
    <row r="20" spans="2:15" ht="18" customHeight="1" x14ac:dyDescent="0.25">
      <c r="B20" s="1253" t="s">
        <v>531</v>
      </c>
      <c r="C20" s="1257"/>
      <c r="D20" s="1259" t="s">
        <v>593</v>
      </c>
      <c r="E20" s="1011">
        <v>389</v>
      </c>
      <c r="F20" s="996">
        <v>0</v>
      </c>
      <c r="G20" s="1011">
        <f t="shared" si="0"/>
        <v>389</v>
      </c>
      <c r="H20" s="1254"/>
      <c r="I20" s="1254"/>
      <c r="J20" s="1254"/>
      <c r="K20" s="1254"/>
      <c r="L20" s="1254"/>
      <c r="M20" s="1254"/>
      <c r="N20" s="1254"/>
      <c r="O20" s="1254"/>
    </row>
    <row r="21" spans="2:15" ht="18" customHeight="1" x14ac:dyDescent="0.25">
      <c r="B21" s="1253" t="s">
        <v>532</v>
      </c>
      <c r="C21" s="1257"/>
      <c r="D21" s="1259" t="s">
        <v>558</v>
      </c>
      <c r="E21" s="1011"/>
      <c r="F21" s="996">
        <v>1800</v>
      </c>
      <c r="G21" s="1011">
        <f>SUM(E21:F21)</f>
        <v>1800</v>
      </c>
      <c r="H21" s="1254"/>
      <c r="I21" s="1254"/>
      <c r="J21" s="1254"/>
      <c r="K21" s="1254"/>
      <c r="L21" s="1254"/>
      <c r="M21" s="1254"/>
      <c r="N21" s="1254"/>
      <c r="O21" s="1254"/>
    </row>
    <row r="22" spans="2:15" ht="18" customHeight="1" x14ac:dyDescent="0.25">
      <c r="B22" s="1253" t="s">
        <v>533</v>
      </c>
      <c r="C22" s="1257"/>
      <c r="D22" s="1259" t="s">
        <v>557</v>
      </c>
      <c r="E22" s="1011"/>
      <c r="F22" s="996">
        <v>1100</v>
      </c>
      <c r="G22" s="1011">
        <f>SUM(E22:F22)</f>
        <v>1100</v>
      </c>
      <c r="H22" s="1254"/>
      <c r="I22" s="1254"/>
      <c r="J22" s="1254"/>
      <c r="K22" s="1254"/>
      <c r="L22" s="1254"/>
      <c r="M22" s="1254"/>
      <c r="N22" s="1254"/>
      <c r="O22" s="1254"/>
    </row>
    <row r="23" spans="2:15" ht="18" customHeight="1" x14ac:dyDescent="0.25">
      <c r="B23" s="1253" t="s">
        <v>534</v>
      </c>
      <c r="C23" s="1257"/>
      <c r="D23" s="1259" t="s">
        <v>1323</v>
      </c>
      <c r="E23" s="1011"/>
      <c r="F23" s="996">
        <v>350</v>
      </c>
      <c r="G23" s="1011">
        <f>SUM(E23:F23)</f>
        <v>350</v>
      </c>
      <c r="H23" s="1254"/>
      <c r="I23" s="1254"/>
      <c r="J23" s="1254"/>
      <c r="K23" s="1254"/>
      <c r="L23" s="1254"/>
      <c r="M23" s="1254"/>
      <c r="N23" s="1254"/>
      <c r="O23" s="1254"/>
    </row>
    <row r="24" spans="2:15" ht="18" customHeight="1" x14ac:dyDescent="0.25">
      <c r="B24" s="1253" t="s">
        <v>535</v>
      </c>
      <c r="C24" s="1255" t="s">
        <v>922</v>
      </c>
      <c r="D24" s="1256"/>
      <c r="E24" s="1260">
        <f>SUM(E13:E22)</f>
        <v>2689</v>
      </c>
      <c r="F24" s="1260">
        <f>SUM(F13:F23)</f>
        <v>6750</v>
      </c>
      <c r="G24" s="1260">
        <f>SUM(G13:G23)</f>
        <v>9439</v>
      </c>
      <c r="H24" s="1260">
        <f t="shared" ref="H24:J24" si="1">SUM(H13:H22)</f>
        <v>0</v>
      </c>
      <c r="I24" s="1260">
        <f t="shared" si="1"/>
        <v>0</v>
      </c>
      <c r="J24" s="1260">
        <f t="shared" si="1"/>
        <v>0</v>
      </c>
      <c r="K24" s="1254"/>
      <c r="L24" s="1254"/>
      <c r="M24" s="1254"/>
      <c r="N24" s="1254"/>
      <c r="O24" s="1254"/>
    </row>
    <row r="25" spans="2:15" ht="18" customHeight="1" x14ac:dyDescent="0.25">
      <c r="B25" s="1253"/>
      <c r="C25" s="1011"/>
      <c r="D25" s="1012"/>
      <c r="E25" s="996"/>
      <c r="F25" s="1011"/>
      <c r="G25" s="1011"/>
      <c r="H25" s="1254"/>
      <c r="I25" s="1254"/>
      <c r="J25" s="1254"/>
      <c r="K25" s="1254"/>
      <c r="L25" s="1254"/>
      <c r="M25" s="1254"/>
      <c r="N25" s="1254"/>
      <c r="O25" s="1254"/>
    </row>
    <row r="26" spans="2:15" ht="18" customHeight="1" x14ac:dyDescent="0.25">
      <c r="B26" s="1253"/>
      <c r="C26" s="1018"/>
      <c r="D26" s="1012"/>
      <c r="E26" s="1018"/>
      <c r="F26" s="1018"/>
      <c r="G26" s="1018"/>
      <c r="H26" s="1254"/>
      <c r="I26" s="1254"/>
      <c r="J26" s="1254"/>
      <c r="K26" s="1254"/>
      <c r="L26" s="1254"/>
      <c r="M26" s="1254"/>
      <c r="N26" s="1254"/>
      <c r="O26" s="1254"/>
    </row>
    <row r="27" spans="2:15" ht="37.9" customHeight="1" x14ac:dyDescent="0.25">
      <c r="B27" s="1261" t="s">
        <v>536</v>
      </c>
      <c r="C27" s="1011"/>
      <c r="D27" s="1012" t="s">
        <v>598</v>
      </c>
      <c r="E27" s="1011"/>
      <c r="F27" s="1011">
        <v>4200</v>
      </c>
      <c r="G27" s="1011">
        <f>SUM(E27:F27)</f>
        <v>4200</v>
      </c>
      <c r="H27" s="1254"/>
      <c r="I27" s="1254"/>
      <c r="J27" s="1254"/>
      <c r="K27" s="1254"/>
      <c r="L27" s="1254"/>
      <c r="M27" s="1254"/>
      <c r="N27" s="1254"/>
      <c r="O27" s="1254"/>
    </row>
    <row r="28" spans="2:15" ht="23.25" customHeight="1" thickBot="1" x14ac:dyDescent="0.3">
      <c r="B28" s="1262" t="s">
        <v>537</v>
      </c>
      <c r="C28" s="1263"/>
      <c r="D28" s="1264" t="s">
        <v>596</v>
      </c>
      <c r="E28" s="1265">
        <f>E27</f>
        <v>0</v>
      </c>
      <c r="F28" s="1265">
        <f t="shared" ref="F28:G28" si="2">F27</f>
        <v>4200</v>
      </c>
      <c r="G28" s="1265">
        <f t="shared" si="2"/>
        <v>4200</v>
      </c>
      <c r="H28" s="1266"/>
      <c r="I28" s="1266"/>
      <c r="J28" s="1266"/>
      <c r="K28" s="1266"/>
      <c r="L28" s="1266"/>
      <c r="M28" s="1266"/>
      <c r="N28" s="1266"/>
      <c r="O28" s="1266"/>
    </row>
    <row r="29" spans="2:15" s="30" customFormat="1" ht="18" customHeight="1" thickBot="1" x14ac:dyDescent="0.3">
      <c r="B29" s="1267" t="s">
        <v>539</v>
      </c>
      <c r="C29" s="1268" t="s">
        <v>923</v>
      </c>
      <c r="D29" s="1269"/>
      <c r="E29" s="569">
        <f>E24+E26+E27</f>
        <v>2689</v>
      </c>
      <c r="F29" s="569">
        <f>F24+F26+F27</f>
        <v>10950</v>
      </c>
      <c r="G29" s="569">
        <f>G24+G26+G27</f>
        <v>13639</v>
      </c>
      <c r="H29" s="1270"/>
      <c r="I29" s="1270"/>
      <c r="J29" s="1270"/>
      <c r="K29" s="1270"/>
      <c r="L29" s="1270"/>
      <c r="M29" s="1270"/>
      <c r="N29" s="1270"/>
      <c r="O29" s="1271"/>
    </row>
    <row r="30" spans="2:15" ht="18" customHeight="1" x14ac:dyDescent="0.25">
      <c r="B30" s="422"/>
      <c r="H30" s="28"/>
      <c r="I30" s="28"/>
    </row>
    <row r="31" spans="2:15" ht="18" customHeight="1" x14ac:dyDescent="0.25">
      <c r="H31" s="28"/>
      <c r="I31" s="28"/>
    </row>
    <row r="32" spans="2:15" ht="18" customHeight="1" x14ac:dyDescent="0.25">
      <c r="H32" s="28"/>
      <c r="I32" s="28"/>
    </row>
    <row r="33" spans="8:9" ht="18" customHeight="1" x14ac:dyDescent="0.25">
      <c r="H33" s="28"/>
      <c r="I33" s="28"/>
    </row>
    <row r="34" spans="8:9" ht="18" customHeight="1" x14ac:dyDescent="0.25">
      <c r="H34" s="28"/>
      <c r="I34" s="28"/>
    </row>
    <row r="35" spans="8:9" ht="18" customHeight="1" x14ac:dyDescent="0.25">
      <c r="H35" s="28"/>
      <c r="I35" s="28"/>
    </row>
    <row r="36" spans="8:9" ht="18" customHeight="1" x14ac:dyDescent="0.25">
      <c r="H36" s="28"/>
      <c r="I36" s="28"/>
    </row>
    <row r="37" spans="8:9" ht="18" customHeight="1" x14ac:dyDescent="0.25">
      <c r="H37" s="28"/>
      <c r="I37" s="28"/>
    </row>
    <row r="38" spans="8:9" ht="18" customHeight="1" x14ac:dyDescent="0.25">
      <c r="H38" s="28"/>
      <c r="I38" s="28"/>
    </row>
    <row r="39" spans="8:9" ht="18" customHeight="1" x14ac:dyDescent="0.25">
      <c r="H39" s="28"/>
      <c r="I39" s="28"/>
    </row>
    <row r="40" spans="8:9" ht="18" customHeight="1" x14ac:dyDescent="0.25">
      <c r="H40" s="28"/>
      <c r="I40" s="28"/>
    </row>
  </sheetData>
  <sheetProtection selectLockedCells="1" selectUnlockedCells="1"/>
  <mergeCells count="12">
    <mergeCell ref="K9:L9"/>
    <mergeCell ref="M9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7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72" customWidth="1"/>
    <col min="5" max="6" width="9.42578125" style="3" customWidth="1"/>
    <col min="7" max="7" width="9.7109375" style="3" customWidth="1"/>
    <col min="8" max="9" width="0" style="173" hidden="1" customWidth="1"/>
    <col min="10" max="10" width="9.85546875" style="186" hidden="1" customWidth="1"/>
    <col min="11" max="11" width="0" style="186" hidden="1" customWidth="1"/>
    <col min="12" max="16384" width="9.140625" style="4"/>
  </cols>
  <sheetData>
    <row r="1" spans="1:12" ht="31.5" customHeight="1" x14ac:dyDescent="0.2">
      <c r="B1" s="1630" t="s">
        <v>1251</v>
      </c>
      <c r="C1" s="1630"/>
      <c r="D1" s="1630"/>
      <c r="E1" s="1630"/>
      <c r="F1" s="1630"/>
      <c r="G1" s="1630"/>
      <c r="H1" s="1631"/>
      <c r="I1" s="1631"/>
      <c r="J1" s="1631"/>
      <c r="K1" s="1456"/>
    </row>
    <row r="3" spans="1:12" ht="12.75" customHeight="1" x14ac:dyDescent="0.2">
      <c r="B3" s="1455" t="s">
        <v>507</v>
      </c>
      <c r="C3" s="1455"/>
      <c r="D3" s="1455"/>
      <c r="E3" s="1455"/>
      <c r="F3" s="1455"/>
      <c r="G3" s="1455"/>
      <c r="H3" s="1456"/>
      <c r="I3" s="1456"/>
      <c r="J3" s="1456"/>
    </row>
    <row r="4" spans="1:12" ht="12.75" customHeight="1" x14ac:dyDescent="0.2">
      <c r="B4" s="1455" t="s">
        <v>1030</v>
      </c>
      <c r="C4" s="1455"/>
      <c r="D4" s="1455"/>
      <c r="E4" s="1455"/>
      <c r="F4" s="1455"/>
      <c r="G4" s="1455"/>
      <c r="H4" s="1456"/>
      <c r="I4" s="1456"/>
      <c r="J4" s="1456"/>
    </row>
    <row r="5" spans="1:12" ht="12.75" customHeight="1" x14ac:dyDescent="0.2">
      <c r="B5" s="1455" t="s">
        <v>924</v>
      </c>
      <c r="C5" s="1455"/>
      <c r="D5" s="1455"/>
      <c r="E5" s="1455"/>
      <c r="F5" s="1455"/>
      <c r="G5" s="1455"/>
      <c r="H5" s="1456"/>
      <c r="I5" s="1456"/>
      <c r="J5" s="1456"/>
    </row>
    <row r="6" spans="1:12" s="109" customFormat="1" ht="14.25" customHeight="1" x14ac:dyDescent="0.2">
      <c r="B6" s="167"/>
      <c r="C6" s="1629" t="s">
        <v>302</v>
      </c>
      <c r="D6" s="1629"/>
      <c r="E6" s="1567"/>
      <c r="F6" s="1567"/>
      <c r="G6" s="1567"/>
      <c r="H6" s="1456"/>
      <c r="I6" s="1456"/>
      <c r="J6" s="1456"/>
      <c r="K6" s="188"/>
    </row>
    <row r="7" spans="1:12" s="109" customFormat="1" ht="6" customHeight="1" x14ac:dyDescent="0.2">
      <c r="B7" s="167"/>
      <c r="C7" s="162"/>
      <c r="D7" s="178"/>
      <c r="E7" s="167"/>
      <c r="F7" s="167"/>
      <c r="G7" s="167"/>
      <c r="H7" s="217"/>
      <c r="I7" s="217"/>
      <c r="J7" s="188"/>
      <c r="K7" s="188"/>
    </row>
    <row r="8" spans="1:12" ht="27" customHeight="1" x14ac:dyDescent="0.25">
      <c r="B8" s="1632" t="s">
        <v>469</v>
      </c>
      <c r="C8" s="1635" t="s">
        <v>57</v>
      </c>
      <c r="D8" s="1635"/>
      <c r="E8" s="20" t="s">
        <v>58</v>
      </c>
      <c r="F8" s="20" t="s">
        <v>59</v>
      </c>
      <c r="G8" s="20" t="s">
        <v>60</v>
      </c>
      <c r="H8" s="186"/>
      <c r="I8" s="4"/>
      <c r="J8" s="4"/>
      <c r="K8" s="4"/>
    </row>
    <row r="9" spans="1:12" ht="30" customHeight="1" x14ac:dyDescent="0.2">
      <c r="B9" s="1633"/>
      <c r="C9" s="1623" t="s">
        <v>85</v>
      </c>
      <c r="D9" s="1623"/>
      <c r="E9" s="1637" t="s">
        <v>1029</v>
      </c>
      <c r="F9" s="1637"/>
      <c r="G9" s="1637"/>
      <c r="H9" s="186"/>
      <c r="I9" s="4"/>
      <c r="J9" s="4"/>
      <c r="K9" s="4"/>
    </row>
    <row r="10" spans="1:12" ht="41.25" customHeight="1" x14ac:dyDescent="0.2">
      <c r="B10" s="1634"/>
      <c r="C10" s="1623"/>
      <c r="D10" s="1623"/>
      <c r="E10" s="177" t="s">
        <v>62</v>
      </c>
      <c r="F10" s="177" t="s">
        <v>63</v>
      </c>
      <c r="G10" s="177" t="s">
        <v>64</v>
      </c>
      <c r="H10" s="186"/>
      <c r="I10" s="4"/>
      <c r="J10" s="4"/>
      <c r="K10" s="4"/>
    </row>
    <row r="11" spans="1:12" ht="18" customHeight="1" x14ac:dyDescent="0.2">
      <c r="A11" s="632"/>
      <c r="B11" s="633" t="s">
        <v>479</v>
      </c>
      <c r="C11" s="1638" t="s">
        <v>599</v>
      </c>
      <c r="D11" s="1638"/>
      <c r="E11" s="179"/>
      <c r="F11" s="170"/>
      <c r="G11" s="418"/>
      <c r="H11" s="186"/>
      <c r="I11" s="4"/>
      <c r="J11" s="4"/>
      <c r="K11" s="4"/>
      <c r="L11" s="433"/>
    </row>
    <row r="12" spans="1:12" ht="26.45" customHeight="1" x14ac:dyDescent="0.2">
      <c r="A12" s="632"/>
      <c r="B12" s="634" t="s">
        <v>487</v>
      </c>
      <c r="C12" s="170"/>
      <c r="D12" s="239" t="s">
        <v>925</v>
      </c>
      <c r="E12" s="181">
        <f>'tám, végl. pe.átv  '!C29</f>
        <v>0</v>
      </c>
      <c r="F12" s="180"/>
      <c r="G12" s="418">
        <f>SUM(E12:F12)</f>
        <v>0</v>
      </c>
      <c r="H12" s="186"/>
      <c r="I12" s="4"/>
      <c r="J12" s="4"/>
      <c r="K12" s="4"/>
      <c r="L12" s="433"/>
    </row>
    <row r="13" spans="1:12" ht="20.25" customHeight="1" x14ac:dyDescent="0.2">
      <c r="A13" s="632"/>
      <c r="B13" s="634" t="s">
        <v>488</v>
      </c>
      <c r="C13" s="170"/>
      <c r="D13" s="239" t="s">
        <v>104</v>
      </c>
      <c r="E13" s="179">
        <v>0</v>
      </c>
      <c r="F13" s="170">
        <f>SUM(F12)</f>
        <v>0</v>
      </c>
      <c r="G13" s="418">
        <f>SUM(E13:F13)</f>
        <v>0</v>
      </c>
      <c r="H13" s="186"/>
      <c r="I13" s="4"/>
      <c r="J13" s="4"/>
      <c r="K13" s="4"/>
      <c r="L13" s="433"/>
    </row>
    <row r="14" spans="1:12" ht="18" customHeight="1" x14ac:dyDescent="0.2">
      <c r="A14" s="632"/>
      <c r="B14" s="634" t="s">
        <v>489</v>
      </c>
      <c r="D14" s="182" t="s">
        <v>596</v>
      </c>
      <c r="E14" s="183">
        <f>SUM(E12:E13)</f>
        <v>0</v>
      </c>
      <c r="F14" s="171"/>
      <c r="G14" s="419">
        <f>SUM(G12:G13)</f>
        <v>0</v>
      </c>
      <c r="H14" s="186"/>
      <c r="I14" s="4"/>
      <c r="J14" s="4"/>
      <c r="K14" s="4"/>
      <c r="L14" s="433"/>
    </row>
    <row r="15" spans="1:12" ht="18" customHeight="1" x14ac:dyDescent="0.2">
      <c r="A15" s="632"/>
      <c r="B15" s="634" t="s">
        <v>490</v>
      </c>
      <c r="D15" s="182"/>
      <c r="E15" s="179"/>
      <c r="F15" s="170"/>
      <c r="G15" s="418"/>
      <c r="H15" s="186"/>
      <c r="I15" s="4"/>
      <c r="J15" s="4"/>
      <c r="K15" s="4"/>
      <c r="L15" s="433"/>
    </row>
    <row r="16" spans="1:12" ht="18" customHeight="1" x14ac:dyDescent="0.2">
      <c r="A16" s="632"/>
      <c r="B16" s="635" t="s">
        <v>491</v>
      </c>
      <c r="E16" s="219"/>
      <c r="F16" s="170"/>
      <c r="G16" s="420"/>
      <c r="H16" s="186"/>
      <c r="I16" s="4"/>
      <c r="J16" s="4"/>
      <c r="K16" s="4"/>
      <c r="L16" s="433"/>
    </row>
    <row r="17" spans="2:12" ht="18" customHeight="1" x14ac:dyDescent="0.2">
      <c r="B17" s="184" t="s">
        <v>492</v>
      </c>
      <c r="C17" s="1636" t="s">
        <v>597</v>
      </c>
      <c r="D17" s="1636"/>
      <c r="E17" s="185">
        <f>E14</f>
        <v>0</v>
      </c>
      <c r="F17" s="185">
        <f t="shared" ref="F17:G17" si="0">F14</f>
        <v>0</v>
      </c>
      <c r="G17" s="185">
        <f t="shared" si="0"/>
        <v>0</v>
      </c>
      <c r="H17" s="186"/>
      <c r="I17" s="4"/>
      <c r="J17" s="4"/>
      <c r="K17" s="4"/>
      <c r="L17" s="433"/>
    </row>
    <row r="18" spans="2:12" ht="18" customHeight="1" x14ac:dyDescent="0.2">
      <c r="B18" s="5"/>
      <c r="H18" s="186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topLeftCell="E1" zoomScale="120" workbookViewId="0">
      <selection activeCell="D9" sqref="D9:F9"/>
    </sheetView>
  </sheetViews>
  <sheetFormatPr defaultColWidth="9.140625" defaultRowHeight="11.25" x14ac:dyDescent="0.2"/>
  <cols>
    <col min="1" max="1" width="2.28515625" style="10" customWidth="1"/>
    <col min="2" max="2" width="4.85546875" style="118" customWidth="1"/>
    <col min="3" max="3" width="39.85546875" style="118" customWidth="1"/>
    <col min="4" max="4" width="10.140625" style="119" customWidth="1"/>
    <col min="5" max="11" width="10" style="119" customWidth="1"/>
    <col min="12" max="12" width="33.7109375" style="119" customWidth="1"/>
    <col min="13" max="15" width="10" style="209" customWidth="1"/>
    <col min="16" max="16" width="10" style="118" customWidth="1"/>
    <col min="17" max="18" width="10" style="10" customWidth="1"/>
    <col min="19" max="19" width="10.28515625" style="10" customWidth="1"/>
    <col min="20" max="20" width="10" style="10" customWidth="1"/>
    <col min="21" max="16384" width="9.140625" style="10"/>
  </cols>
  <sheetData>
    <row r="1" spans="1:20" ht="12.75" customHeight="1" x14ac:dyDescent="0.2">
      <c r="C1" s="1398" t="s">
        <v>1421</v>
      </c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</row>
    <row r="2" spans="1:20" x14ac:dyDescent="0.2">
      <c r="O2" s="258"/>
    </row>
    <row r="3" spans="1:20" x14ac:dyDescent="0.2">
      <c r="O3" s="258"/>
    </row>
    <row r="4" spans="1:20" s="99" customFormat="1" x14ac:dyDescent="0.2">
      <c r="B4" s="121"/>
      <c r="C4" s="1406" t="s">
        <v>77</v>
      </c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406"/>
      <c r="P4" s="1406"/>
      <c r="Q4" s="1406"/>
      <c r="R4" s="1406"/>
      <c r="S4" s="1406"/>
      <c r="T4" s="1406"/>
    </row>
    <row r="5" spans="1:20" s="99" customFormat="1" x14ac:dyDescent="0.2">
      <c r="B5" s="121"/>
      <c r="C5" s="1535" t="s">
        <v>182</v>
      </c>
      <c r="D5" s="1535"/>
      <c r="E5" s="1535"/>
      <c r="F5" s="1535"/>
      <c r="G5" s="1535"/>
      <c r="H5" s="1535"/>
      <c r="I5" s="1535"/>
      <c r="J5" s="1535"/>
      <c r="K5" s="1535"/>
      <c r="L5" s="1535"/>
      <c r="M5" s="1535"/>
      <c r="N5" s="1535"/>
      <c r="O5" s="1535"/>
      <c r="P5" s="1535"/>
      <c r="Q5" s="1535"/>
      <c r="R5" s="1535"/>
      <c r="S5" s="1535"/>
      <c r="T5" s="1535"/>
    </row>
    <row r="6" spans="1:20" s="99" customFormat="1" x14ac:dyDescent="0.2">
      <c r="B6" s="121"/>
      <c r="C6" s="1406" t="s">
        <v>1136</v>
      </c>
      <c r="D6" s="1406"/>
      <c r="E6" s="1406"/>
      <c r="F6" s="1406"/>
      <c r="G6" s="1406"/>
      <c r="H6" s="1406"/>
      <c r="I6" s="1406"/>
      <c r="J6" s="1406"/>
      <c r="K6" s="1406"/>
      <c r="L6" s="1406"/>
      <c r="M6" s="1406"/>
      <c r="N6" s="1406"/>
      <c r="O6" s="1406"/>
      <c r="P6" s="1406"/>
      <c r="Q6" s="1406"/>
      <c r="R6" s="1406"/>
      <c r="S6" s="1406"/>
      <c r="T6" s="1406"/>
    </row>
    <row r="7" spans="1:20" s="99" customFormat="1" x14ac:dyDescent="0.2">
      <c r="B7" s="121"/>
      <c r="C7" s="1405" t="s">
        <v>302</v>
      </c>
      <c r="D7" s="1405"/>
      <c r="E7" s="1405"/>
      <c r="F7" s="1405"/>
      <c r="G7" s="1405"/>
      <c r="H7" s="1405"/>
      <c r="I7" s="1405"/>
      <c r="J7" s="1405"/>
      <c r="K7" s="1405"/>
      <c r="L7" s="1405"/>
      <c r="M7" s="1405"/>
      <c r="N7" s="1405"/>
      <c r="O7" s="1405"/>
      <c r="P7" s="1405"/>
      <c r="Q7" s="1405"/>
      <c r="R7" s="1405"/>
      <c r="S7" s="1405"/>
      <c r="T7" s="1405"/>
    </row>
    <row r="8" spans="1:20" s="99" customFormat="1" ht="12.75" customHeight="1" x14ac:dyDescent="0.2">
      <c r="B8" s="1399" t="s">
        <v>56</v>
      </c>
      <c r="C8" s="1401" t="s">
        <v>57</v>
      </c>
      <c r="D8" s="1640" t="s">
        <v>58</v>
      </c>
      <c r="E8" s="1641"/>
      <c r="F8" s="1641"/>
      <c r="G8" s="1641"/>
      <c r="H8" s="1641"/>
      <c r="I8" s="1641"/>
      <c r="J8" s="1641"/>
      <c r="K8" s="1642"/>
      <c r="L8" s="1402" t="s">
        <v>59</v>
      </c>
      <c r="M8" s="1643" t="s">
        <v>60</v>
      </c>
      <c r="N8" s="1643"/>
      <c r="O8" s="1643"/>
      <c r="P8" s="1643"/>
      <c r="Q8" s="1643"/>
      <c r="R8" s="1643"/>
      <c r="S8" s="1643"/>
      <c r="T8" s="1643"/>
    </row>
    <row r="9" spans="1:20" s="99" customFormat="1" ht="12.75" customHeight="1" x14ac:dyDescent="0.2">
      <c r="B9" s="1399"/>
      <c r="C9" s="1401"/>
      <c r="D9" s="1403" t="s">
        <v>1419</v>
      </c>
      <c r="E9" s="1403"/>
      <c r="F9" s="1403"/>
      <c r="G9" s="1403" t="s">
        <v>1400</v>
      </c>
      <c r="H9" s="1403"/>
      <c r="I9" s="1403" t="s">
        <v>1412</v>
      </c>
      <c r="J9" s="1403"/>
      <c r="K9" s="1403"/>
      <c r="L9" s="1402"/>
      <c r="M9" s="1639" t="s">
        <v>1419</v>
      </c>
      <c r="N9" s="1639"/>
      <c r="O9" s="1639"/>
      <c r="P9" s="1403" t="s">
        <v>1400</v>
      </c>
      <c r="Q9" s="1403"/>
      <c r="R9" s="1403" t="s">
        <v>1420</v>
      </c>
      <c r="S9" s="1403"/>
      <c r="T9" s="1403"/>
    </row>
    <row r="10" spans="1:20" s="221" customFormat="1" ht="36.6" customHeight="1" x14ac:dyDescent="0.2">
      <c r="B10" s="1399"/>
      <c r="C10" s="1380" t="s">
        <v>61</v>
      </c>
      <c r="D10" s="817" t="s">
        <v>62</v>
      </c>
      <c r="E10" s="817" t="s">
        <v>63</v>
      </c>
      <c r="F10" s="817" t="s">
        <v>64</v>
      </c>
      <c r="G10" s="817" t="s">
        <v>62</v>
      </c>
      <c r="H10" s="817" t="s">
        <v>63</v>
      </c>
      <c r="I10" s="817" t="s">
        <v>62</v>
      </c>
      <c r="J10" s="817" t="s">
        <v>63</v>
      </c>
      <c r="K10" s="817" t="s">
        <v>64</v>
      </c>
      <c r="L10" s="1382" t="s">
        <v>65</v>
      </c>
      <c r="M10" s="1381" t="s">
        <v>62</v>
      </c>
      <c r="N10" s="1381" t="s">
        <v>63</v>
      </c>
      <c r="O10" s="1381" t="s">
        <v>64</v>
      </c>
      <c r="P10" s="817" t="s">
        <v>62</v>
      </c>
      <c r="Q10" s="817" t="s">
        <v>63</v>
      </c>
      <c r="R10" s="817" t="s">
        <v>62</v>
      </c>
      <c r="S10" s="817" t="s">
        <v>63</v>
      </c>
      <c r="T10" s="817" t="s">
        <v>64</v>
      </c>
    </row>
    <row r="11" spans="1:20" ht="11.45" customHeight="1" x14ac:dyDescent="0.2">
      <c r="A11" s="1328"/>
      <c r="B11" s="570">
        <v>1</v>
      </c>
      <c r="C11" s="1349" t="s">
        <v>24</v>
      </c>
      <c r="D11" s="126"/>
      <c r="E11" s="126"/>
      <c r="F11" s="126"/>
      <c r="G11" s="126"/>
      <c r="H11" s="126"/>
      <c r="I11" s="126"/>
      <c r="J11" s="126"/>
      <c r="K11" s="340"/>
      <c r="L11" s="1302" t="s">
        <v>25</v>
      </c>
      <c r="M11" s="1309"/>
      <c r="N11" s="1309"/>
      <c r="O11" s="1304"/>
      <c r="P11" s="210"/>
      <c r="Q11" s="210"/>
      <c r="R11" s="210"/>
      <c r="S11" s="210"/>
      <c r="T11" s="1346"/>
    </row>
    <row r="12" spans="1:20" x14ac:dyDescent="0.2">
      <c r="A12" s="1328"/>
      <c r="B12" s="570">
        <f t="shared" ref="B12:B54" si="0">B11+1</f>
        <v>2</v>
      </c>
      <c r="C12" s="123" t="s">
        <v>35</v>
      </c>
      <c r="D12" s="96"/>
      <c r="E12" s="96"/>
      <c r="F12" s="96">
        <f t="shared" ref="F12:F18" si="1">SUM(D12:E12)</f>
        <v>0</v>
      </c>
      <c r="G12" s="96"/>
      <c r="H12" s="96"/>
      <c r="I12" s="96"/>
      <c r="J12" s="96"/>
      <c r="K12" s="341"/>
      <c r="L12" s="96" t="s">
        <v>215</v>
      </c>
      <c r="M12" s="204">
        <v>208582</v>
      </c>
      <c r="N12" s="204">
        <v>60056</v>
      </c>
      <c r="O12" s="1350">
        <f>SUM(M12:N12)</f>
        <v>268638</v>
      </c>
      <c r="P12" s="1304">
        <v>34300</v>
      </c>
      <c r="Q12" s="1304">
        <v>-32187</v>
      </c>
      <c r="R12" s="1304">
        <f>M12+P12</f>
        <v>242882</v>
      </c>
      <c r="S12" s="1304">
        <f>N12+Q12</f>
        <v>27869</v>
      </c>
      <c r="T12" s="1320">
        <f>R12+S12</f>
        <v>270751</v>
      </c>
    </row>
    <row r="13" spans="1:20" x14ac:dyDescent="0.2">
      <c r="A13" s="1328"/>
      <c r="B13" s="570">
        <f t="shared" si="0"/>
        <v>3</v>
      </c>
      <c r="C13" s="123" t="s">
        <v>36</v>
      </c>
      <c r="D13" s="96"/>
      <c r="E13" s="96"/>
      <c r="F13" s="96">
        <f t="shared" si="1"/>
        <v>0</v>
      </c>
      <c r="G13" s="96"/>
      <c r="H13" s="96"/>
      <c r="I13" s="96"/>
      <c r="J13" s="96"/>
      <c r="K13" s="341"/>
      <c r="L13" s="1362" t="s">
        <v>216</v>
      </c>
      <c r="M13" s="204">
        <v>44979</v>
      </c>
      <c r="N13" s="204">
        <v>11257</v>
      </c>
      <c r="O13" s="1350">
        <f>SUM(M13:N13)</f>
        <v>56236</v>
      </c>
      <c r="P13" s="1304">
        <v>4730</v>
      </c>
      <c r="Q13" s="1304">
        <v>-6285</v>
      </c>
      <c r="R13" s="1304">
        <f t="shared" ref="R13:R14" si="2">M13+P13</f>
        <v>49709</v>
      </c>
      <c r="S13" s="1304">
        <f t="shared" ref="S13:S14" si="3">N13+Q13</f>
        <v>4972</v>
      </c>
      <c r="T13" s="1320">
        <f t="shared" ref="T13:T14" si="4">R13+S13</f>
        <v>54681</v>
      </c>
    </row>
    <row r="14" spans="1:20" x14ac:dyDescent="0.2">
      <c r="A14" s="1328"/>
      <c r="B14" s="1385">
        <f t="shared" si="0"/>
        <v>4</v>
      </c>
      <c r="C14" s="123" t="s">
        <v>192</v>
      </c>
      <c r="D14" s="96">
        <f>'tám, végl. pe.átv  '!C54</f>
        <v>0</v>
      </c>
      <c r="E14" s="96">
        <f>'tám, végl. pe.átv  '!D54</f>
        <v>1447</v>
      </c>
      <c r="F14" s="204">
        <f t="shared" si="1"/>
        <v>1447</v>
      </c>
      <c r="G14" s="204"/>
      <c r="H14" s="204">
        <v>558</v>
      </c>
      <c r="I14" s="204">
        <f>D14+G14</f>
        <v>0</v>
      </c>
      <c r="J14" s="204">
        <f>E14+H14</f>
        <v>2005</v>
      </c>
      <c r="K14" s="353">
        <f>I14+J14</f>
        <v>2005</v>
      </c>
      <c r="L14" s="96" t="s">
        <v>217</v>
      </c>
      <c r="M14" s="204">
        <v>170618</v>
      </c>
      <c r="N14" s="204">
        <v>54226</v>
      </c>
      <c r="O14" s="1350">
        <f>SUM(M14:N14)</f>
        <v>224844</v>
      </c>
      <c r="P14" s="1304">
        <v>40710</v>
      </c>
      <c r="Q14" s="1304">
        <v>-21300</v>
      </c>
      <c r="R14" s="1304">
        <f t="shared" si="2"/>
        <v>211328</v>
      </c>
      <c r="S14" s="1304">
        <f t="shared" si="3"/>
        <v>32926</v>
      </c>
      <c r="T14" s="1320">
        <f t="shared" si="4"/>
        <v>244254</v>
      </c>
    </row>
    <row r="15" spans="1:20" ht="12" customHeight="1" x14ac:dyDescent="0.2">
      <c r="A15" s="1328"/>
      <c r="B15" s="570">
        <f t="shared" si="0"/>
        <v>5</v>
      </c>
      <c r="C15" s="1369"/>
      <c r="D15" s="96"/>
      <c r="E15" s="96"/>
      <c r="F15" s="96"/>
      <c r="G15" s="96"/>
      <c r="H15" s="96"/>
      <c r="I15" s="204"/>
      <c r="J15" s="204"/>
      <c r="K15" s="353"/>
      <c r="L15" s="96"/>
      <c r="M15" s="1379"/>
      <c r="N15" s="1379"/>
      <c r="O15" s="204"/>
      <c r="P15" s="1304"/>
      <c r="Q15" s="1304"/>
      <c r="R15" s="210"/>
      <c r="S15" s="1304"/>
      <c r="T15" s="1328"/>
    </row>
    <row r="16" spans="1:20" x14ac:dyDescent="0.2">
      <c r="A16" s="1328"/>
      <c r="B16" s="570">
        <f t="shared" si="0"/>
        <v>6</v>
      </c>
      <c r="C16" s="123" t="s">
        <v>38</v>
      </c>
      <c r="D16" s="96"/>
      <c r="E16" s="96"/>
      <c r="F16" s="96">
        <f t="shared" si="1"/>
        <v>0</v>
      </c>
      <c r="G16" s="96"/>
      <c r="H16" s="96"/>
      <c r="I16" s="204"/>
      <c r="J16" s="204"/>
      <c r="K16" s="353"/>
      <c r="L16" s="96" t="s">
        <v>28</v>
      </c>
      <c r="M16" s="1304"/>
      <c r="N16" s="1304"/>
      <c r="O16" s="1304"/>
      <c r="P16" s="1304"/>
      <c r="Q16" s="1304"/>
      <c r="R16" s="210"/>
      <c r="S16" s="210"/>
      <c r="T16" s="1328"/>
    </row>
    <row r="17" spans="1:20" x14ac:dyDescent="0.2">
      <c r="A17" s="1328"/>
      <c r="B17" s="570">
        <f t="shared" si="0"/>
        <v>7</v>
      </c>
      <c r="C17" s="123"/>
      <c r="D17" s="96"/>
      <c r="E17" s="96"/>
      <c r="F17" s="96"/>
      <c r="G17" s="96"/>
      <c r="H17" s="96"/>
      <c r="I17" s="204"/>
      <c r="J17" s="204"/>
      <c r="K17" s="353"/>
      <c r="L17" s="96" t="s">
        <v>30</v>
      </c>
      <c r="M17" s="1304"/>
      <c r="N17" s="1304"/>
      <c r="O17" s="1304"/>
      <c r="P17" s="1304"/>
      <c r="Q17" s="1304"/>
      <c r="R17" s="210"/>
      <c r="S17" s="210"/>
      <c r="T17" s="1328"/>
    </row>
    <row r="18" spans="1:20" x14ac:dyDescent="0.2">
      <c r="A18" s="1328"/>
      <c r="B18" s="570">
        <f t="shared" si="0"/>
        <v>8</v>
      </c>
      <c r="C18" s="123" t="s">
        <v>39</v>
      </c>
      <c r="D18" s="96"/>
      <c r="E18" s="96"/>
      <c r="F18" s="96">
        <f t="shared" si="1"/>
        <v>0</v>
      </c>
      <c r="G18" s="96"/>
      <c r="H18" s="96"/>
      <c r="I18" s="204"/>
      <c r="J18" s="204"/>
      <c r="K18" s="353"/>
      <c r="L18" s="96" t="s">
        <v>446</v>
      </c>
      <c r="M18" s="1304"/>
      <c r="N18" s="1304"/>
      <c r="O18" s="1304"/>
      <c r="P18" s="1304"/>
      <c r="Q18" s="1304"/>
      <c r="R18" s="210"/>
      <c r="S18" s="210"/>
      <c r="T18" s="1328"/>
    </row>
    <row r="19" spans="1:20" x14ac:dyDescent="0.2">
      <c r="A19" s="1328"/>
      <c r="B19" s="570">
        <f t="shared" si="0"/>
        <v>9</v>
      </c>
      <c r="C19" s="125" t="s">
        <v>40</v>
      </c>
      <c r="D19" s="1368"/>
      <c r="E19" s="1368"/>
      <c r="F19" s="1368"/>
      <c r="G19" s="1368"/>
      <c r="H19" s="1368"/>
      <c r="I19" s="204"/>
      <c r="J19" s="204"/>
      <c r="K19" s="353"/>
      <c r="L19" s="96" t="s">
        <v>445</v>
      </c>
      <c r="M19" s="1304"/>
      <c r="N19" s="1304"/>
      <c r="O19" s="1304"/>
      <c r="P19" s="1304"/>
      <c r="Q19" s="1304"/>
      <c r="R19" s="210"/>
      <c r="S19" s="210"/>
      <c r="T19" s="1328"/>
    </row>
    <row r="20" spans="1:20" x14ac:dyDescent="0.2">
      <c r="A20" s="1328"/>
      <c r="B20" s="570">
        <f t="shared" si="0"/>
        <v>10</v>
      </c>
      <c r="C20" s="123" t="s">
        <v>194</v>
      </c>
      <c r="D20" s="1350">
        <v>85267</v>
      </c>
      <c r="E20" s="1350">
        <v>53694</v>
      </c>
      <c r="F20" s="1350">
        <f>SUM(D20:E20)</f>
        <v>138961</v>
      </c>
      <c r="G20" s="1350">
        <v>26500</v>
      </c>
      <c r="H20" s="1350">
        <v>-20800</v>
      </c>
      <c r="I20" s="204">
        <f t="shared" ref="I20:I25" si="5">D20+G20</f>
        <v>111767</v>
      </c>
      <c r="J20" s="204">
        <f t="shared" ref="J20:J25" si="6">E20+H20</f>
        <v>32894</v>
      </c>
      <c r="K20" s="353">
        <f t="shared" ref="K20:K25" si="7">I20+J20</f>
        <v>144661</v>
      </c>
      <c r="L20" s="96" t="s">
        <v>190</v>
      </c>
      <c r="M20" s="1304"/>
      <c r="N20" s="1304"/>
      <c r="O20" s="1304"/>
      <c r="P20" s="1304"/>
      <c r="Q20" s="1304"/>
      <c r="R20" s="210"/>
      <c r="S20" s="210"/>
      <c r="T20" s="1328"/>
    </row>
    <row r="21" spans="1:20" x14ac:dyDescent="0.2">
      <c r="A21" s="1328"/>
      <c r="B21" s="570">
        <f t="shared" si="0"/>
        <v>11</v>
      </c>
      <c r="C21" s="1303"/>
      <c r="D21" s="1368"/>
      <c r="E21" s="1368"/>
      <c r="F21" s="1368"/>
      <c r="G21" s="1368"/>
      <c r="H21" s="1368"/>
      <c r="I21" s="204"/>
      <c r="J21" s="204"/>
      <c r="K21" s="353"/>
      <c r="L21" s="96" t="s">
        <v>929</v>
      </c>
      <c r="M21" s="1304"/>
      <c r="N21" s="1304"/>
      <c r="O21" s="1304"/>
      <c r="P21" s="1304"/>
      <c r="Q21" s="1304"/>
      <c r="R21" s="210"/>
      <c r="S21" s="210"/>
      <c r="T21" s="1328"/>
    </row>
    <row r="22" spans="1:20" s="101" customFormat="1" x14ac:dyDescent="0.2">
      <c r="A22" s="1329"/>
      <c r="B22" s="570">
        <f t="shared" si="0"/>
        <v>12</v>
      </c>
      <c r="C22" s="1303" t="s">
        <v>42</v>
      </c>
      <c r="D22" s="1368"/>
      <c r="E22" s="1368"/>
      <c r="F22" s="1368"/>
      <c r="G22" s="1368"/>
      <c r="H22" s="1368"/>
      <c r="I22" s="204"/>
      <c r="J22" s="204"/>
      <c r="K22" s="353"/>
      <c r="L22" s="96" t="s">
        <v>930</v>
      </c>
      <c r="M22" s="1304"/>
      <c r="N22" s="1304"/>
      <c r="O22" s="1304"/>
      <c r="P22" s="1371"/>
      <c r="Q22" s="1371"/>
      <c r="R22" s="1353"/>
      <c r="S22" s="1353"/>
      <c r="T22" s="1329"/>
    </row>
    <row r="23" spans="1:20" s="101" customFormat="1" x14ac:dyDescent="0.2">
      <c r="A23" s="1329"/>
      <c r="B23" s="570">
        <f t="shared" si="0"/>
        <v>13</v>
      </c>
      <c r="C23" s="1303" t="s">
        <v>43</v>
      </c>
      <c r="D23" s="1368"/>
      <c r="E23" s="1368"/>
      <c r="F23" s="1368"/>
      <c r="G23" s="1368"/>
      <c r="H23" s="1368"/>
      <c r="I23" s="204"/>
      <c r="J23" s="204"/>
      <c r="K23" s="353"/>
      <c r="L23" s="124"/>
      <c r="M23" s="1304"/>
      <c r="N23" s="1304"/>
      <c r="O23" s="1304"/>
      <c r="P23" s="1371"/>
      <c r="Q23" s="1371"/>
      <c r="R23" s="1353"/>
      <c r="S23" s="1353"/>
      <c r="T23" s="1329"/>
    </row>
    <row r="24" spans="1:20" x14ac:dyDescent="0.2">
      <c r="A24" s="1328"/>
      <c r="B24" s="570">
        <f t="shared" si="0"/>
        <v>14</v>
      </c>
      <c r="C24" s="123" t="s">
        <v>44</v>
      </c>
      <c r="D24" s="1370"/>
      <c r="E24" s="1370"/>
      <c r="F24" s="1370"/>
      <c r="G24" s="1370"/>
      <c r="H24" s="1370"/>
      <c r="I24" s="204"/>
      <c r="J24" s="204"/>
      <c r="K24" s="353"/>
      <c r="L24" s="1354" t="s">
        <v>66</v>
      </c>
      <c r="M24" s="1308">
        <f>SUM(M12:M22)</f>
        <v>424179</v>
      </c>
      <c r="N24" s="1308">
        <f>SUM(N12:N22)</f>
        <v>125539</v>
      </c>
      <c r="O24" s="1308">
        <f>SUM(O12:O22)</f>
        <v>549718</v>
      </c>
      <c r="P24" s="1304">
        <f>SUM(P12:P23)</f>
        <v>79740</v>
      </c>
      <c r="Q24" s="1304">
        <f>SUM(Q12:Q23)</f>
        <v>-59772</v>
      </c>
      <c r="R24" s="1304">
        <f>SUM(R12:R23)</f>
        <v>503919</v>
      </c>
      <c r="S24" s="1304">
        <f>SUM(S12:S23)</f>
        <v>65767</v>
      </c>
      <c r="T24" s="1320">
        <f>SUM(T12:T23)</f>
        <v>569686</v>
      </c>
    </row>
    <row r="25" spans="1:20" x14ac:dyDescent="0.2">
      <c r="A25" s="1328"/>
      <c r="B25" s="570">
        <f t="shared" si="0"/>
        <v>15</v>
      </c>
      <c r="C25" s="123" t="s">
        <v>45</v>
      </c>
      <c r="D25" s="1368">
        <f>'felh. bev.  '!D46</f>
        <v>0</v>
      </c>
      <c r="E25" s="1368">
        <f>'felh. bev.  '!E46</f>
        <v>1285</v>
      </c>
      <c r="F25" s="1368">
        <f>'felh. bev.  '!F46</f>
        <v>1285</v>
      </c>
      <c r="G25" s="1368">
        <v>1285</v>
      </c>
      <c r="H25" s="1368">
        <v>-1285</v>
      </c>
      <c r="I25" s="204">
        <f t="shared" si="5"/>
        <v>1285</v>
      </c>
      <c r="J25" s="204">
        <f t="shared" si="6"/>
        <v>0</v>
      </c>
      <c r="K25" s="353">
        <f t="shared" si="7"/>
        <v>1285</v>
      </c>
      <c r="L25" s="124"/>
      <c r="M25" s="1304"/>
      <c r="N25" s="1304"/>
      <c r="O25" s="1304"/>
      <c r="P25" s="1304"/>
      <c r="Q25" s="1304"/>
      <c r="R25" s="210"/>
      <c r="S25" s="210"/>
      <c r="T25" s="1328"/>
    </row>
    <row r="26" spans="1:20" x14ac:dyDescent="0.2">
      <c r="A26" s="1328"/>
      <c r="B26" s="570">
        <f t="shared" si="0"/>
        <v>16</v>
      </c>
      <c r="C26" s="123" t="s">
        <v>46</v>
      </c>
      <c r="D26" s="1302"/>
      <c r="E26" s="1302"/>
      <c r="F26" s="1302"/>
      <c r="G26" s="1302"/>
      <c r="H26" s="1302"/>
      <c r="I26" s="204"/>
      <c r="J26" s="204"/>
      <c r="K26" s="353"/>
      <c r="L26" s="1302" t="s">
        <v>34</v>
      </c>
      <c r="M26" s="1309"/>
      <c r="N26" s="1309"/>
      <c r="O26" s="1304"/>
      <c r="P26" s="1304"/>
      <c r="Q26" s="1304"/>
      <c r="R26" s="210"/>
      <c r="S26" s="210"/>
      <c r="T26" s="1328"/>
    </row>
    <row r="27" spans="1:20" x14ac:dyDescent="0.2">
      <c r="A27" s="1328"/>
      <c r="B27" s="570">
        <f t="shared" si="0"/>
        <v>17</v>
      </c>
      <c r="C27" s="123" t="s">
        <v>47</v>
      </c>
      <c r="D27" s="96"/>
      <c r="E27" s="96"/>
      <c r="F27" s="96"/>
      <c r="G27" s="96"/>
      <c r="H27" s="96"/>
      <c r="I27" s="204"/>
      <c r="J27" s="204"/>
      <c r="K27" s="353"/>
      <c r="L27" s="96" t="s">
        <v>273</v>
      </c>
      <c r="M27" s="1304">
        <f>'felhalm. kiad.  '!N123</f>
        <v>1000</v>
      </c>
      <c r="N27" s="1304">
        <f>'felhalm. kiad.  '!Q123</f>
        <v>36600</v>
      </c>
      <c r="O27" s="1304">
        <f>SUM(M27:N27)</f>
        <v>37600</v>
      </c>
      <c r="P27" s="1304">
        <v>39400</v>
      </c>
      <c r="Q27" s="1304">
        <v>-36600</v>
      </c>
      <c r="R27" s="1304">
        <f>M27+P27</f>
        <v>40400</v>
      </c>
      <c r="S27" s="1304">
        <f t="shared" ref="S27" si="8">N27+Q27</f>
        <v>0</v>
      </c>
      <c r="T27" s="1320">
        <f>R27+S27</f>
        <v>40400</v>
      </c>
    </row>
    <row r="28" spans="1:20" x14ac:dyDescent="0.2">
      <c r="A28" s="1328"/>
      <c r="B28" s="570">
        <f t="shared" si="0"/>
        <v>18</v>
      </c>
      <c r="C28" s="123"/>
      <c r="D28" s="96"/>
      <c r="E28" s="96"/>
      <c r="F28" s="96"/>
      <c r="G28" s="96"/>
      <c r="H28" s="96"/>
      <c r="I28" s="204"/>
      <c r="J28" s="204"/>
      <c r="K28" s="353"/>
      <c r="L28" s="96" t="s">
        <v>31</v>
      </c>
      <c r="M28" s="1304"/>
      <c r="N28" s="1304"/>
      <c r="O28" s="1304"/>
      <c r="P28" s="1304"/>
      <c r="Q28" s="1304"/>
      <c r="R28" s="210"/>
      <c r="S28" s="210"/>
      <c r="T28" s="1328"/>
    </row>
    <row r="29" spans="1:20" x14ac:dyDescent="0.2">
      <c r="A29" s="1328"/>
      <c r="B29" s="570">
        <f t="shared" si="0"/>
        <v>19</v>
      </c>
      <c r="C29" s="1303" t="s">
        <v>50</v>
      </c>
      <c r="D29" s="96"/>
      <c r="E29" s="96"/>
      <c r="F29" s="96"/>
      <c r="G29" s="96"/>
      <c r="H29" s="96"/>
      <c r="I29" s="204"/>
      <c r="J29" s="204"/>
      <c r="K29" s="353"/>
      <c r="L29" s="96" t="s">
        <v>32</v>
      </c>
      <c r="M29" s="1304"/>
      <c r="N29" s="1304"/>
      <c r="O29" s="1304"/>
      <c r="P29" s="1304"/>
      <c r="Q29" s="1304"/>
      <c r="R29" s="210"/>
      <c r="S29" s="210"/>
      <c r="T29" s="1328"/>
    </row>
    <row r="30" spans="1:20" s="101" customFormat="1" x14ac:dyDescent="0.2">
      <c r="A30" s="1329"/>
      <c r="B30" s="570">
        <f t="shared" si="0"/>
        <v>20</v>
      </c>
      <c r="C30" s="1303" t="s">
        <v>48</v>
      </c>
      <c r="D30" s="96"/>
      <c r="E30" s="96"/>
      <c r="F30" s="96"/>
      <c r="G30" s="96"/>
      <c r="H30" s="96"/>
      <c r="I30" s="204"/>
      <c r="J30" s="204"/>
      <c r="K30" s="353"/>
      <c r="L30" s="96" t="s">
        <v>447</v>
      </c>
      <c r="M30" s="1304"/>
      <c r="N30" s="1304"/>
      <c r="O30" s="1304"/>
      <c r="P30" s="1371"/>
      <c r="Q30" s="1371"/>
      <c r="R30" s="1353"/>
      <c r="S30" s="1353"/>
      <c r="T30" s="1329"/>
    </row>
    <row r="31" spans="1:20" x14ac:dyDescent="0.2">
      <c r="A31" s="1328"/>
      <c r="B31" s="570">
        <f t="shared" si="0"/>
        <v>21</v>
      </c>
      <c r="C31" s="1303"/>
      <c r="D31" s="96"/>
      <c r="E31" s="96"/>
      <c r="F31" s="96"/>
      <c r="G31" s="96"/>
      <c r="H31" s="96"/>
      <c r="I31" s="204"/>
      <c r="J31" s="204"/>
      <c r="K31" s="353"/>
      <c r="L31" s="96" t="s">
        <v>444</v>
      </c>
      <c r="M31" s="1304"/>
      <c r="N31" s="1304"/>
      <c r="O31" s="1304"/>
      <c r="P31" s="1304"/>
      <c r="Q31" s="1304"/>
      <c r="R31" s="210"/>
      <c r="S31" s="210"/>
      <c r="T31" s="1328"/>
    </row>
    <row r="32" spans="1:20" s="11" customFormat="1" x14ac:dyDescent="0.2">
      <c r="A32" s="1330"/>
      <c r="B32" s="570">
        <f t="shared" si="0"/>
        <v>22</v>
      </c>
      <c r="C32" s="1355" t="s">
        <v>52</v>
      </c>
      <c r="D32" s="1392">
        <f>D14+D20</f>
        <v>85267</v>
      </c>
      <c r="E32" s="1392">
        <f>E14+E20</f>
        <v>55141</v>
      </c>
      <c r="F32" s="1392">
        <f>F14+F20</f>
        <v>140408</v>
      </c>
      <c r="G32" s="1392">
        <f>G14+G29+G20</f>
        <v>26500</v>
      </c>
      <c r="H32" s="1392">
        <f t="shared" ref="H32:K32" si="9">H14+H29+H20</f>
        <v>-20242</v>
      </c>
      <c r="I32" s="1392">
        <f t="shared" si="9"/>
        <v>111767</v>
      </c>
      <c r="J32" s="1392">
        <f t="shared" si="9"/>
        <v>34899</v>
      </c>
      <c r="K32" s="1393">
        <f t="shared" si="9"/>
        <v>146666</v>
      </c>
      <c r="L32" s="96" t="s">
        <v>440</v>
      </c>
      <c r="M32" s="1304"/>
      <c r="N32" s="1304"/>
      <c r="O32" s="1304"/>
      <c r="P32" s="1309"/>
      <c r="Q32" s="1309"/>
      <c r="R32" s="598"/>
      <c r="S32" s="598"/>
      <c r="T32" s="1330"/>
    </row>
    <row r="33" spans="1:20" x14ac:dyDescent="0.2">
      <c r="A33" s="1328"/>
      <c r="B33" s="570">
        <f t="shared" si="0"/>
        <v>23</v>
      </c>
      <c r="C33" s="1356" t="s">
        <v>67</v>
      </c>
      <c r="D33" s="1354">
        <f>D16+D23+D24+D25+D26+D27+D30</f>
        <v>0</v>
      </c>
      <c r="E33" s="1354">
        <f t="shared" ref="E33:F33" si="10">E16+E23+E24+E25+E26+E27+E30</f>
        <v>1285</v>
      </c>
      <c r="F33" s="1354">
        <f t="shared" si="10"/>
        <v>1285</v>
      </c>
      <c r="G33" s="1354">
        <f>G16+G23+G24+G25+G26+G27+G30</f>
        <v>1285</v>
      </c>
      <c r="H33" s="1354">
        <f t="shared" ref="H33:K33" si="11">H16+H23+H24+H25+H26+H27+H30</f>
        <v>-1285</v>
      </c>
      <c r="I33" s="1354">
        <f t="shared" si="11"/>
        <v>1285</v>
      </c>
      <c r="J33" s="1354">
        <f t="shared" si="11"/>
        <v>0</v>
      </c>
      <c r="K33" s="339">
        <f t="shared" si="11"/>
        <v>1285</v>
      </c>
      <c r="L33" s="1370" t="s">
        <v>68</v>
      </c>
      <c r="M33" s="1371">
        <f>SUM(M27:M32)</f>
        <v>1000</v>
      </c>
      <c r="N33" s="1371">
        <f>SUM(N27:N32)</f>
        <v>36600</v>
      </c>
      <c r="O33" s="1371">
        <f>SUM(O27:O31)</f>
        <v>37600</v>
      </c>
      <c r="P33" s="1304">
        <f>SUM(P27:P32)</f>
        <v>39400</v>
      </c>
      <c r="Q33" s="1304">
        <f>SUM(Q27:Q32)</f>
        <v>-36600</v>
      </c>
      <c r="R33" s="1304">
        <f>SUM(R27:R32)</f>
        <v>40400</v>
      </c>
      <c r="S33" s="1304">
        <f>SUM(S27:S32)</f>
        <v>0</v>
      </c>
      <c r="T33" s="1320">
        <f>SUM(T27:T32)</f>
        <v>40400</v>
      </c>
    </row>
    <row r="34" spans="1:20" x14ac:dyDescent="0.2">
      <c r="A34" s="1328"/>
      <c r="B34" s="570">
        <f t="shared" si="0"/>
        <v>24</v>
      </c>
      <c r="C34" s="128" t="s">
        <v>51</v>
      </c>
      <c r="D34" s="126">
        <f>SUM(D32:D33)</f>
        <v>85267</v>
      </c>
      <c r="E34" s="126">
        <f>SUM(E32:E33)</f>
        <v>56426</v>
      </c>
      <c r="F34" s="126">
        <f>SUM(D34:E34)</f>
        <v>141693</v>
      </c>
      <c r="G34" s="126">
        <f>SUM(G32:G33)</f>
        <v>27785</v>
      </c>
      <c r="H34" s="126">
        <f t="shared" ref="H34:K34" si="12">SUM(H32:H33)</f>
        <v>-21527</v>
      </c>
      <c r="I34" s="126">
        <f t="shared" si="12"/>
        <v>113052</v>
      </c>
      <c r="J34" s="126">
        <f t="shared" si="12"/>
        <v>34899</v>
      </c>
      <c r="K34" s="340">
        <f t="shared" si="12"/>
        <v>147951</v>
      </c>
      <c r="L34" s="126" t="s">
        <v>69</v>
      </c>
      <c r="M34" s="1309">
        <f>M24+M33</f>
        <v>425179</v>
      </c>
      <c r="N34" s="1309">
        <f>N24+N33</f>
        <v>162139</v>
      </c>
      <c r="O34" s="1309">
        <f>O24+O33</f>
        <v>587318</v>
      </c>
      <c r="P34" s="1304">
        <f>P24+P33</f>
        <v>119140</v>
      </c>
      <c r="Q34" s="1304">
        <f t="shared" ref="Q34:T34" si="13">Q24+Q33</f>
        <v>-96372</v>
      </c>
      <c r="R34" s="1304">
        <f t="shared" si="13"/>
        <v>544319</v>
      </c>
      <c r="S34" s="1304">
        <f t="shared" si="13"/>
        <v>65767</v>
      </c>
      <c r="T34" s="1320">
        <f t="shared" si="13"/>
        <v>610086</v>
      </c>
    </row>
    <row r="35" spans="1:20" x14ac:dyDescent="0.2">
      <c r="A35" s="1328"/>
      <c r="B35" s="570">
        <f t="shared" si="0"/>
        <v>25</v>
      </c>
      <c r="C35" s="1303"/>
      <c r="D35" s="124"/>
      <c r="E35" s="124"/>
      <c r="F35" s="124"/>
      <c r="G35" s="124"/>
      <c r="H35" s="124"/>
      <c r="I35" s="124"/>
      <c r="J35" s="124"/>
      <c r="K35" s="1374"/>
      <c r="L35" s="124"/>
      <c r="M35" s="1304"/>
      <c r="N35" s="1304"/>
      <c r="O35" s="1304"/>
      <c r="P35" s="1304"/>
      <c r="Q35" s="1304"/>
      <c r="R35" s="210"/>
      <c r="S35" s="210"/>
      <c r="T35" s="1328"/>
    </row>
    <row r="36" spans="1:20" x14ac:dyDescent="0.2">
      <c r="A36" s="1328"/>
      <c r="B36" s="570">
        <f t="shared" si="0"/>
        <v>26</v>
      </c>
      <c r="C36" s="1303"/>
      <c r="D36" s="124"/>
      <c r="E36" s="124"/>
      <c r="F36" s="124"/>
      <c r="G36" s="124"/>
      <c r="H36" s="124"/>
      <c r="I36" s="124"/>
      <c r="J36" s="124"/>
      <c r="K36" s="1374"/>
      <c r="L36" s="1354"/>
      <c r="M36" s="1308"/>
      <c r="N36" s="1308"/>
      <c r="O36" s="1308"/>
      <c r="P36" s="1304"/>
      <c r="Q36" s="1304"/>
      <c r="R36" s="210"/>
      <c r="S36" s="210"/>
      <c r="T36" s="1328"/>
    </row>
    <row r="37" spans="1:20" s="11" customFormat="1" x14ac:dyDescent="0.2">
      <c r="A37" s="1330"/>
      <c r="B37" s="570">
        <f t="shared" si="0"/>
        <v>27</v>
      </c>
      <c r="C37" s="1303"/>
      <c r="D37" s="124"/>
      <c r="E37" s="124"/>
      <c r="F37" s="124"/>
      <c r="G37" s="124"/>
      <c r="H37" s="124"/>
      <c r="I37" s="124"/>
      <c r="J37" s="124"/>
      <c r="K37" s="1374"/>
      <c r="L37" s="124"/>
      <c r="M37" s="1304"/>
      <c r="N37" s="1304"/>
      <c r="O37" s="1304"/>
      <c r="P37" s="1309"/>
      <c r="Q37" s="1309"/>
      <c r="R37" s="598"/>
      <c r="S37" s="598"/>
      <c r="T37" s="1330"/>
    </row>
    <row r="38" spans="1:20" s="11" customFormat="1" x14ac:dyDescent="0.2">
      <c r="A38" s="1330"/>
      <c r="B38" s="570">
        <f t="shared" si="0"/>
        <v>28</v>
      </c>
      <c r="C38" s="1302" t="s">
        <v>53</v>
      </c>
      <c r="D38" s="1302"/>
      <c r="E38" s="1302"/>
      <c r="F38" s="1302"/>
      <c r="G38" s="1302"/>
      <c r="H38" s="1302"/>
      <c r="I38" s="1302"/>
      <c r="J38" s="1302"/>
      <c r="K38" s="375"/>
      <c r="L38" s="1302" t="s">
        <v>33</v>
      </c>
      <c r="M38" s="1309"/>
      <c r="N38" s="1309"/>
      <c r="O38" s="1309"/>
      <c r="P38" s="1309"/>
      <c r="Q38" s="1309"/>
      <c r="R38" s="598"/>
      <c r="S38" s="598"/>
      <c r="T38" s="1330"/>
    </row>
    <row r="39" spans="1:20" s="11" customFormat="1" x14ac:dyDescent="0.2">
      <c r="A39" s="1330"/>
      <c r="B39" s="570">
        <f t="shared" si="0"/>
        <v>29</v>
      </c>
      <c r="C39" s="1357" t="s">
        <v>682</v>
      </c>
      <c r="D39" s="1302"/>
      <c r="E39" s="1302"/>
      <c r="F39" s="1302"/>
      <c r="G39" s="1302"/>
      <c r="H39" s="1302"/>
      <c r="I39" s="1302"/>
      <c r="J39" s="1302"/>
      <c r="K39" s="375"/>
      <c r="L39" s="1357" t="s">
        <v>4</v>
      </c>
      <c r="M39" s="1309"/>
      <c r="N39" s="598"/>
      <c r="O39" s="598"/>
      <c r="P39" s="1309"/>
      <c r="Q39" s="1309"/>
      <c r="R39" s="598"/>
      <c r="S39" s="598"/>
      <c r="T39" s="1330"/>
    </row>
    <row r="40" spans="1:20" s="11" customFormat="1" x14ac:dyDescent="0.2">
      <c r="A40" s="1330"/>
      <c r="B40" s="570">
        <f t="shared" si="0"/>
        <v>30</v>
      </c>
      <c r="C40" s="123" t="s">
        <v>960</v>
      </c>
      <c r="D40" s="1302"/>
      <c r="E40" s="1302"/>
      <c r="F40" s="1302"/>
      <c r="G40" s="1302"/>
      <c r="H40" s="1302"/>
      <c r="I40" s="1302"/>
      <c r="J40" s="1302"/>
      <c r="K40" s="375"/>
      <c r="L40" s="123" t="s">
        <v>3</v>
      </c>
      <c r="M40" s="1309"/>
      <c r="N40" s="1309"/>
      <c r="O40" s="1309"/>
      <c r="P40" s="1309"/>
      <c r="Q40" s="1309"/>
      <c r="R40" s="598"/>
      <c r="S40" s="598"/>
      <c r="T40" s="1330"/>
    </row>
    <row r="41" spans="1:20" x14ac:dyDescent="0.2">
      <c r="A41" s="1328"/>
      <c r="B41" s="570">
        <f t="shared" si="0"/>
        <v>31</v>
      </c>
      <c r="C41" s="96" t="s">
        <v>684</v>
      </c>
      <c r="D41" s="1373"/>
      <c r="E41" s="1373"/>
      <c r="F41" s="1373"/>
      <c r="G41" s="1373"/>
      <c r="H41" s="1373"/>
      <c r="I41" s="1373"/>
      <c r="J41" s="1373"/>
      <c r="K41" s="1375"/>
      <c r="L41" s="96" t="s">
        <v>5</v>
      </c>
      <c r="M41" s="1309"/>
      <c r="N41" s="1309"/>
      <c r="O41" s="1309"/>
      <c r="P41" s="1304"/>
      <c r="Q41" s="1304"/>
      <c r="R41" s="210"/>
      <c r="S41" s="210"/>
      <c r="T41" s="1328"/>
    </row>
    <row r="42" spans="1:20" x14ac:dyDescent="0.2">
      <c r="A42" s="1328"/>
      <c r="B42" s="570">
        <f t="shared" si="0"/>
        <v>32</v>
      </c>
      <c r="C42" s="96" t="s">
        <v>207</v>
      </c>
      <c r="D42" s="96"/>
      <c r="E42" s="96"/>
      <c r="F42" s="96"/>
      <c r="G42" s="96"/>
      <c r="H42" s="96"/>
      <c r="I42" s="96"/>
      <c r="J42" s="96"/>
      <c r="K42" s="341"/>
      <c r="L42" s="96" t="s">
        <v>6</v>
      </c>
      <c r="M42" s="1309"/>
      <c r="N42" s="1309"/>
      <c r="O42" s="1309"/>
      <c r="P42" s="1304"/>
      <c r="Q42" s="1304"/>
      <c r="R42" s="210"/>
      <c r="S42" s="210"/>
      <c r="T42" s="1328"/>
    </row>
    <row r="43" spans="1:20" x14ac:dyDescent="0.2">
      <c r="A43" s="1328"/>
      <c r="B43" s="570">
        <f t="shared" si="0"/>
        <v>33</v>
      </c>
      <c r="C43" s="1362" t="s">
        <v>272</v>
      </c>
      <c r="D43" s="96">
        <v>2162</v>
      </c>
      <c r="E43" s="96">
        <v>0</v>
      </c>
      <c r="F43" s="96">
        <f>D43+E43</f>
        <v>2162</v>
      </c>
      <c r="G43" s="96"/>
      <c r="H43" s="96"/>
      <c r="I43" s="96">
        <f>D43+G43</f>
        <v>2162</v>
      </c>
      <c r="J43" s="96">
        <f>E43+H43</f>
        <v>0</v>
      </c>
      <c r="K43" s="341">
        <f>I43+J42</f>
        <v>2162</v>
      </c>
      <c r="L43" s="96" t="s">
        <v>7</v>
      </c>
      <c r="M43" s="1309"/>
      <c r="N43" s="1309"/>
      <c r="O43" s="1309"/>
      <c r="P43" s="1304"/>
      <c r="Q43" s="1304"/>
      <c r="R43" s="210"/>
      <c r="S43" s="210"/>
      <c r="T43" s="1328"/>
    </row>
    <row r="44" spans="1:20" x14ac:dyDescent="0.2">
      <c r="A44" s="1328"/>
      <c r="B44" s="570">
        <f t="shared" si="0"/>
        <v>34</v>
      </c>
      <c r="C44" s="1362" t="s">
        <v>958</v>
      </c>
      <c r="D44" s="96"/>
      <c r="E44" s="96"/>
      <c r="F44" s="96"/>
      <c r="G44" s="96"/>
      <c r="H44" s="96"/>
      <c r="I44" s="96"/>
      <c r="J44" s="96"/>
      <c r="K44" s="341"/>
      <c r="L44" s="96"/>
      <c r="M44" s="1309"/>
      <c r="N44" s="1309"/>
      <c r="O44" s="1309"/>
      <c r="P44" s="1304"/>
      <c r="Q44" s="1304"/>
      <c r="R44" s="210"/>
      <c r="S44" s="210"/>
      <c r="T44" s="1328"/>
    </row>
    <row r="45" spans="1:20" x14ac:dyDescent="0.2">
      <c r="A45" s="1328"/>
      <c r="B45" s="570">
        <f t="shared" si="0"/>
        <v>35</v>
      </c>
      <c r="C45" s="96" t="s">
        <v>685</v>
      </c>
      <c r="D45" s="96"/>
      <c r="E45" s="96"/>
      <c r="F45" s="96"/>
      <c r="G45" s="96"/>
      <c r="H45" s="96"/>
      <c r="I45" s="96"/>
      <c r="J45" s="96"/>
      <c r="K45" s="341"/>
      <c r="L45" s="96" t="s">
        <v>8</v>
      </c>
      <c r="M45" s="1309"/>
      <c r="N45" s="1309"/>
      <c r="O45" s="1304"/>
      <c r="P45" s="1304"/>
      <c r="Q45" s="1304"/>
      <c r="R45" s="210"/>
      <c r="S45" s="210"/>
      <c r="T45" s="1328"/>
    </row>
    <row r="46" spans="1:20" x14ac:dyDescent="0.2">
      <c r="A46" s="1328"/>
      <c r="B46" s="570">
        <f t="shared" si="0"/>
        <v>36</v>
      </c>
      <c r="C46" s="96" t="s">
        <v>686</v>
      </c>
      <c r="D46" s="1302"/>
      <c r="E46" s="1302"/>
      <c r="F46" s="1302"/>
      <c r="G46" s="1302"/>
      <c r="H46" s="1302"/>
      <c r="I46" s="1302"/>
      <c r="J46" s="1302"/>
      <c r="K46" s="375"/>
      <c r="L46" s="96" t="s">
        <v>9</v>
      </c>
      <c r="M46" s="1309"/>
      <c r="N46" s="1309"/>
      <c r="O46" s="1304"/>
      <c r="P46" s="1304"/>
      <c r="Q46" s="1304"/>
      <c r="R46" s="210"/>
      <c r="S46" s="210"/>
      <c r="T46" s="1328"/>
    </row>
    <row r="47" spans="1:20" x14ac:dyDescent="0.2">
      <c r="A47" s="1328"/>
      <c r="B47" s="570">
        <f t="shared" si="0"/>
        <v>37</v>
      </c>
      <c r="C47" s="96" t="s">
        <v>211</v>
      </c>
      <c r="D47" s="96"/>
      <c r="E47" s="96"/>
      <c r="F47" s="96"/>
      <c r="G47" s="96"/>
      <c r="H47" s="96"/>
      <c r="I47" s="96"/>
      <c r="J47" s="96"/>
      <c r="K47" s="341"/>
      <c r="L47" s="96" t="s">
        <v>10</v>
      </c>
      <c r="M47" s="1304"/>
      <c r="N47" s="1304"/>
      <c r="O47" s="1304"/>
      <c r="P47" s="1304"/>
      <c r="Q47" s="1304"/>
      <c r="R47" s="210"/>
      <c r="S47" s="210"/>
      <c r="T47" s="1328"/>
    </row>
    <row r="48" spans="1:20" x14ac:dyDescent="0.2">
      <c r="A48" s="1328"/>
      <c r="B48" s="570">
        <f t="shared" si="0"/>
        <v>38</v>
      </c>
      <c r="C48" s="1362" t="s">
        <v>212</v>
      </c>
      <c r="D48" s="96">
        <f>M24-(D32+D43)</f>
        <v>336750</v>
      </c>
      <c r="E48" s="96">
        <f>N24-(E32+E43)</f>
        <v>70398</v>
      </c>
      <c r="F48" s="96">
        <f>O24-(F32+F43)</f>
        <v>407148</v>
      </c>
      <c r="G48" s="96">
        <f t="shared" ref="G48:K48" si="14">P24-(G32+G43)</f>
        <v>53240</v>
      </c>
      <c r="H48" s="96">
        <f t="shared" si="14"/>
        <v>-39530</v>
      </c>
      <c r="I48" s="96">
        <f t="shared" si="14"/>
        <v>389990</v>
      </c>
      <c r="J48" s="96">
        <f t="shared" si="14"/>
        <v>30868</v>
      </c>
      <c r="K48" s="341">
        <f t="shared" si="14"/>
        <v>420858</v>
      </c>
      <c r="L48" s="96" t="s">
        <v>11</v>
      </c>
      <c r="M48" s="1304"/>
      <c r="N48" s="1304"/>
      <c r="O48" s="1304"/>
      <c r="P48" s="1304"/>
      <c r="Q48" s="1304"/>
      <c r="R48" s="210"/>
      <c r="S48" s="210"/>
      <c r="T48" s="1328"/>
    </row>
    <row r="49" spans="1:20" x14ac:dyDescent="0.2">
      <c r="A49" s="1328"/>
      <c r="B49" s="570">
        <f t="shared" si="0"/>
        <v>39</v>
      </c>
      <c r="C49" s="1362" t="s">
        <v>213</v>
      </c>
      <c r="D49" s="96">
        <f>M33-D33</f>
        <v>1000</v>
      </c>
      <c r="E49" s="96">
        <f>N33-E33</f>
        <v>35315</v>
      </c>
      <c r="F49" s="96">
        <f>O33-F33</f>
        <v>36315</v>
      </c>
      <c r="G49" s="96">
        <f t="shared" ref="G49:K49" si="15">P33-G33</f>
        <v>38115</v>
      </c>
      <c r="H49" s="96">
        <f t="shared" si="15"/>
        <v>-35315</v>
      </c>
      <c r="I49" s="96">
        <f t="shared" si="15"/>
        <v>39115</v>
      </c>
      <c r="J49" s="96">
        <f t="shared" si="15"/>
        <v>0</v>
      </c>
      <c r="K49" s="341">
        <f t="shared" si="15"/>
        <v>39115</v>
      </c>
      <c r="L49" s="96" t="s">
        <v>12</v>
      </c>
      <c r="M49" s="1304"/>
      <c r="N49" s="1304"/>
      <c r="O49" s="1304"/>
      <c r="P49" s="1304"/>
      <c r="Q49" s="1304"/>
      <c r="R49" s="210"/>
      <c r="S49" s="210"/>
      <c r="T49" s="1328"/>
    </row>
    <row r="50" spans="1:20" x14ac:dyDescent="0.2">
      <c r="A50" s="1328"/>
      <c r="B50" s="570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41"/>
      <c r="L50" s="96" t="s">
        <v>13</v>
      </c>
      <c r="M50" s="1304"/>
      <c r="N50" s="1304"/>
      <c r="O50" s="1304"/>
      <c r="P50" s="1304"/>
      <c r="Q50" s="1304"/>
      <c r="R50" s="210"/>
      <c r="S50" s="210"/>
      <c r="T50" s="1328"/>
    </row>
    <row r="51" spans="1:20" x14ac:dyDescent="0.2">
      <c r="A51" s="1328"/>
      <c r="B51" s="570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41"/>
      <c r="L51" s="96" t="s">
        <v>14</v>
      </c>
      <c r="M51" s="1304"/>
      <c r="N51" s="1304"/>
      <c r="O51" s="1304"/>
      <c r="P51" s="1304"/>
      <c r="Q51" s="1304"/>
      <c r="R51" s="210"/>
      <c r="S51" s="210"/>
      <c r="T51" s="1328"/>
    </row>
    <row r="52" spans="1:20" x14ac:dyDescent="0.2">
      <c r="A52" s="1328"/>
      <c r="B52" s="570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41"/>
      <c r="L52" s="96" t="s">
        <v>15</v>
      </c>
      <c r="M52" s="1304"/>
      <c r="N52" s="1304"/>
      <c r="O52" s="1304"/>
      <c r="P52" s="1304"/>
      <c r="Q52" s="1304"/>
      <c r="R52" s="210"/>
      <c r="S52" s="210"/>
      <c r="T52" s="1328"/>
    </row>
    <row r="53" spans="1:20" ht="12" thickBot="1" x14ac:dyDescent="0.25">
      <c r="A53" s="1328"/>
      <c r="B53" s="570">
        <f t="shared" si="0"/>
        <v>43</v>
      </c>
      <c r="C53" s="128" t="s">
        <v>448</v>
      </c>
      <c r="D53" s="126">
        <f>SUM(D39:D51)</f>
        <v>339912</v>
      </c>
      <c r="E53" s="126">
        <f>SUM(E39:E51)</f>
        <v>105713</v>
      </c>
      <c r="F53" s="126">
        <f>SUM(F39:F51)</f>
        <v>445625</v>
      </c>
      <c r="G53" s="126">
        <f t="shared" ref="G53:K53" si="16">SUM(G39:G51)</f>
        <v>91355</v>
      </c>
      <c r="H53" s="126">
        <f t="shared" si="16"/>
        <v>-74845</v>
      </c>
      <c r="I53" s="126">
        <f t="shared" si="16"/>
        <v>431267</v>
      </c>
      <c r="J53" s="126">
        <f t="shared" si="16"/>
        <v>30868</v>
      </c>
      <c r="K53" s="1394">
        <f t="shared" si="16"/>
        <v>462135</v>
      </c>
      <c r="L53" s="1302" t="s">
        <v>441</v>
      </c>
      <c r="M53" s="1309">
        <f>SUM(M39:M52)</f>
        <v>0</v>
      </c>
      <c r="N53" s="1309">
        <f>SUM(N39:N52)</f>
        <v>0</v>
      </c>
      <c r="O53" s="1309">
        <f>SUM(O39:O52)</f>
        <v>0</v>
      </c>
      <c r="P53" s="1309"/>
      <c r="Q53" s="1309"/>
      <c r="R53" s="1309">
        <f>M53+P53</f>
        <v>0</v>
      </c>
      <c r="S53" s="1309">
        <f>N53+Q53</f>
        <v>0</v>
      </c>
      <c r="T53" s="1324">
        <f>R53+S53</f>
        <v>0</v>
      </c>
    </row>
    <row r="54" spans="1:20" ht="12" thickBot="1" x14ac:dyDescent="0.25">
      <c r="B54" s="697">
        <f t="shared" si="0"/>
        <v>44</v>
      </c>
      <c r="C54" s="696" t="s">
        <v>443</v>
      </c>
      <c r="D54" s="689">
        <f>D34+D53</f>
        <v>425179</v>
      </c>
      <c r="E54" s="689">
        <f>E34+E53</f>
        <v>162139</v>
      </c>
      <c r="F54" s="689">
        <f>F34+F53</f>
        <v>587318</v>
      </c>
      <c r="G54" s="689">
        <f t="shared" ref="G54:K54" si="17">G34+G53</f>
        <v>119140</v>
      </c>
      <c r="H54" s="689">
        <f t="shared" si="17"/>
        <v>-96372</v>
      </c>
      <c r="I54" s="689">
        <f t="shared" si="17"/>
        <v>544319</v>
      </c>
      <c r="J54" s="689">
        <f t="shared" si="17"/>
        <v>65767</v>
      </c>
      <c r="K54" s="689">
        <f t="shared" si="17"/>
        <v>610086</v>
      </c>
      <c r="L54" s="1384" t="s">
        <v>442</v>
      </c>
      <c r="M54" s="695">
        <f>M34+M53</f>
        <v>425179</v>
      </c>
      <c r="N54" s="695">
        <f>N34+N53</f>
        <v>162139</v>
      </c>
      <c r="O54" s="695">
        <f>O34+O53</f>
        <v>587318</v>
      </c>
      <c r="P54" s="695">
        <f>P34</f>
        <v>119140</v>
      </c>
      <c r="Q54" s="695">
        <f t="shared" ref="Q54:T54" si="18">Q34</f>
        <v>-96372</v>
      </c>
      <c r="R54" s="695">
        <f t="shared" si="18"/>
        <v>544319</v>
      </c>
      <c r="S54" s="695">
        <f t="shared" si="18"/>
        <v>65767</v>
      </c>
      <c r="T54" s="695">
        <f t="shared" si="18"/>
        <v>610086</v>
      </c>
    </row>
    <row r="55" spans="1:20" x14ac:dyDescent="0.2">
      <c r="C55" s="130"/>
      <c r="D55" s="129"/>
      <c r="E55" s="129"/>
      <c r="F55" s="129"/>
      <c r="G55" s="129"/>
      <c r="H55" s="129"/>
      <c r="I55" s="129"/>
      <c r="J55" s="129"/>
      <c r="K55" s="129"/>
      <c r="L55" s="129"/>
      <c r="M55" s="133"/>
      <c r="N55" s="133"/>
      <c r="O55" s="133"/>
    </row>
  </sheetData>
  <sheetProtection selectLockedCells="1" selectUnlockedCells="1"/>
  <mergeCells count="16">
    <mergeCell ref="C4:T4"/>
    <mergeCell ref="C5:T5"/>
    <mergeCell ref="C6:T6"/>
    <mergeCell ref="C7:T7"/>
    <mergeCell ref="C1:T1"/>
    <mergeCell ref="P9:Q9"/>
    <mergeCell ref="R9:T9"/>
    <mergeCell ref="M8:T8"/>
    <mergeCell ref="L8:L9"/>
    <mergeCell ref="G9:H9"/>
    <mergeCell ref="I9:K9"/>
    <mergeCell ref="B8:B10"/>
    <mergeCell ref="C8:C9"/>
    <mergeCell ref="D9:F9"/>
    <mergeCell ref="M9:O9"/>
    <mergeCell ref="D8:K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6"/>
  <sheetViews>
    <sheetView zoomScale="120" workbookViewId="0">
      <selection activeCell="F7" sqref="F7:J8"/>
    </sheetView>
  </sheetViews>
  <sheetFormatPr defaultColWidth="9.140625" defaultRowHeight="11.25" x14ac:dyDescent="0.2"/>
  <cols>
    <col min="1" max="1" width="4.85546875" style="118" customWidth="1"/>
    <col min="2" max="2" width="41.85546875" style="118" customWidth="1"/>
    <col min="3" max="3" width="10.140625" style="119" customWidth="1"/>
    <col min="4" max="4" width="11.140625" style="119" customWidth="1"/>
    <col min="5" max="10" width="11.28515625" style="119" customWidth="1"/>
    <col min="11" max="11" width="32.42578125" style="119" customWidth="1"/>
    <col min="12" max="12" width="11.5703125" style="119" customWidth="1"/>
    <col min="13" max="13" width="14.7109375" style="119" customWidth="1"/>
    <col min="14" max="14" width="14.5703125" style="119" customWidth="1"/>
    <col min="15" max="30" width="9.140625" style="118"/>
    <col min="31" max="16384" width="9.140625" style="10"/>
  </cols>
  <sheetData>
    <row r="1" spans="1:30" ht="12.75" customHeight="1" x14ac:dyDescent="0.2">
      <c r="B1" s="1398" t="s">
        <v>1349</v>
      </c>
      <c r="C1" s="1398"/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539"/>
    </row>
    <row r="2" spans="1:30" x14ac:dyDescent="0.2">
      <c r="B2" s="415"/>
      <c r="N2" s="120"/>
    </row>
    <row r="3" spans="1:30" s="99" customFormat="1" x14ac:dyDescent="0.2">
      <c r="A3" s="121"/>
      <c r="B3" s="1406" t="s">
        <v>54</v>
      </c>
      <c r="C3" s="1406"/>
      <c r="D3" s="1406"/>
      <c r="E3" s="1406"/>
      <c r="F3" s="1406"/>
      <c r="G3" s="1406"/>
      <c r="H3" s="1406"/>
      <c r="I3" s="1406"/>
      <c r="J3" s="1406"/>
      <c r="K3" s="1406"/>
      <c r="L3" s="1406"/>
      <c r="M3" s="1406"/>
      <c r="N3" s="1406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</row>
    <row r="4" spans="1:30" s="99" customFormat="1" x14ac:dyDescent="0.2">
      <c r="A4" s="121"/>
      <c r="B4" s="1406" t="s">
        <v>1150</v>
      </c>
      <c r="C4" s="1406"/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</row>
    <row r="5" spans="1:30" s="99" customFormat="1" ht="12.75" customHeight="1" x14ac:dyDescent="0.2">
      <c r="A5" s="1412" t="s">
        <v>305</v>
      </c>
      <c r="B5" s="1412"/>
      <c r="C5" s="1412"/>
      <c r="D5" s="1412"/>
      <c r="E5" s="1412"/>
      <c r="F5" s="1412"/>
      <c r="G5" s="1412"/>
      <c r="H5" s="1412"/>
      <c r="I5" s="1412"/>
      <c r="J5" s="1412"/>
      <c r="K5" s="1412"/>
      <c r="L5" s="1412"/>
      <c r="M5" s="1412"/>
      <c r="N5" s="1412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</row>
    <row r="6" spans="1:30" s="99" customFormat="1" ht="12.75" customHeight="1" x14ac:dyDescent="0.2">
      <c r="A6" s="1413" t="s">
        <v>56</v>
      </c>
      <c r="B6" s="1415" t="s">
        <v>57</v>
      </c>
      <c r="C6" s="1416" t="s">
        <v>58</v>
      </c>
      <c r="D6" s="1416"/>
      <c r="E6" s="1417"/>
      <c r="F6" s="778"/>
      <c r="G6" s="778"/>
      <c r="H6" s="778"/>
      <c r="I6" s="778"/>
      <c r="J6" s="778"/>
      <c r="K6" s="1418" t="s">
        <v>59</v>
      </c>
      <c r="L6" s="1408" t="s">
        <v>60</v>
      </c>
      <c r="M6" s="1409"/>
      <c r="N6" s="1409"/>
      <c r="O6" s="1409"/>
      <c r="P6" s="1409"/>
      <c r="Q6" s="1409"/>
      <c r="R6" s="1409"/>
      <c r="S6" s="1409"/>
      <c r="T6" s="121"/>
      <c r="U6" s="121"/>
      <c r="V6" s="121"/>
      <c r="W6" s="121"/>
      <c r="X6" s="121"/>
    </row>
    <row r="7" spans="1:30" s="99" customFormat="1" ht="12.75" customHeight="1" x14ac:dyDescent="0.2">
      <c r="A7" s="1413"/>
      <c r="B7" s="1415"/>
      <c r="C7" s="1410" t="s">
        <v>1137</v>
      </c>
      <c r="D7" s="1410"/>
      <c r="E7" s="1411"/>
      <c r="F7" s="1403" t="s">
        <v>1400</v>
      </c>
      <c r="G7" s="1403"/>
      <c r="H7" s="1403" t="s">
        <v>1399</v>
      </c>
      <c r="I7" s="1403"/>
      <c r="J7" s="1403"/>
      <c r="K7" s="1418"/>
      <c r="L7" s="1410" t="s">
        <v>1137</v>
      </c>
      <c r="M7" s="1410"/>
      <c r="N7" s="1411"/>
      <c r="O7" s="1403" t="s">
        <v>1398</v>
      </c>
      <c r="P7" s="1403"/>
      <c r="Q7" s="1403" t="s">
        <v>1399</v>
      </c>
      <c r="R7" s="1403"/>
      <c r="S7" s="1403"/>
      <c r="T7" s="121"/>
      <c r="U7" s="121"/>
      <c r="V7" s="121"/>
      <c r="W7" s="121"/>
      <c r="X7" s="121"/>
    </row>
    <row r="8" spans="1:30" s="100" customFormat="1" ht="36.6" customHeight="1" x14ac:dyDescent="0.2">
      <c r="A8" s="1414"/>
      <c r="B8" s="818" t="s">
        <v>61</v>
      </c>
      <c r="C8" s="819" t="s">
        <v>62</v>
      </c>
      <c r="D8" s="819" t="s">
        <v>63</v>
      </c>
      <c r="E8" s="820" t="s">
        <v>64</v>
      </c>
      <c r="F8" s="782" t="s">
        <v>62</v>
      </c>
      <c r="G8" s="782" t="s">
        <v>63</v>
      </c>
      <c r="H8" s="782" t="s">
        <v>62</v>
      </c>
      <c r="I8" s="782" t="s">
        <v>63</v>
      </c>
      <c r="J8" s="783" t="s">
        <v>64</v>
      </c>
      <c r="K8" s="821" t="s">
        <v>65</v>
      </c>
      <c r="L8" s="819" t="s">
        <v>62</v>
      </c>
      <c r="M8" s="819" t="s">
        <v>63</v>
      </c>
      <c r="N8" s="820" t="s">
        <v>64</v>
      </c>
      <c r="O8" s="822" t="s">
        <v>62</v>
      </c>
      <c r="P8" s="822" t="s">
        <v>63</v>
      </c>
      <c r="Q8" s="822" t="s">
        <v>62</v>
      </c>
      <c r="R8" s="822" t="s">
        <v>63</v>
      </c>
      <c r="S8" s="822" t="s">
        <v>64</v>
      </c>
      <c r="T8" s="131"/>
      <c r="U8" s="131"/>
      <c r="V8" s="131"/>
      <c r="W8" s="131"/>
      <c r="X8" s="131"/>
    </row>
    <row r="9" spans="1:30" ht="11.45" customHeight="1" x14ac:dyDescent="0.2">
      <c r="A9" s="823">
        <v>1</v>
      </c>
      <c r="B9" s="824" t="s">
        <v>24</v>
      </c>
      <c r="C9" s="799"/>
      <c r="D9" s="799"/>
      <c r="E9" s="799"/>
      <c r="F9" s="799"/>
      <c r="G9" s="799"/>
      <c r="H9" s="799"/>
      <c r="I9" s="799"/>
      <c r="J9" s="799"/>
      <c r="K9" s="800" t="s">
        <v>25</v>
      </c>
      <c r="L9" s="799"/>
      <c r="M9" s="799"/>
      <c r="N9" s="793"/>
      <c r="O9" s="789"/>
      <c r="P9" s="789"/>
      <c r="Q9" s="789"/>
      <c r="R9" s="789"/>
      <c r="S9" s="789"/>
      <c r="Y9" s="10"/>
      <c r="Z9" s="10"/>
      <c r="AA9" s="10"/>
      <c r="AB9" s="10"/>
      <c r="AC9" s="10"/>
      <c r="AD9" s="10"/>
    </row>
    <row r="10" spans="1:30" x14ac:dyDescent="0.2">
      <c r="A10" s="823">
        <f>A9+1</f>
        <v>2</v>
      </c>
      <c r="B10" s="825" t="s">
        <v>35</v>
      </c>
      <c r="C10" s="792"/>
      <c r="D10" s="792"/>
      <c r="E10" s="792">
        <f>SUM(C10:D10)</f>
        <v>0</v>
      </c>
      <c r="F10" s="792"/>
      <c r="G10" s="792"/>
      <c r="H10" s="792"/>
      <c r="I10" s="792"/>
      <c r="J10" s="792"/>
      <c r="K10" s="792" t="s">
        <v>26</v>
      </c>
      <c r="L10" s="792">
        <f>Össz.önkor.mérleg.!M10</f>
        <v>581651</v>
      </c>
      <c r="M10" s="792">
        <f>Össz.önkor.mérleg.!N10</f>
        <v>432225</v>
      </c>
      <c r="N10" s="792">
        <f>Össz.önkor.mérleg.!O10</f>
        <v>1013876</v>
      </c>
      <c r="O10" s="789"/>
      <c r="P10" s="789"/>
      <c r="Q10" s="789"/>
      <c r="R10" s="789"/>
      <c r="S10" s="789"/>
      <c r="Y10" s="10"/>
      <c r="Z10" s="10"/>
      <c r="AA10" s="10"/>
      <c r="AB10" s="10"/>
      <c r="AC10" s="10"/>
      <c r="AD10" s="10"/>
    </row>
    <row r="11" spans="1:30" x14ac:dyDescent="0.2">
      <c r="A11" s="823">
        <f t="shared" ref="A11:A45" si="0">A10+1</f>
        <v>3</v>
      </c>
      <c r="B11" s="825" t="s">
        <v>36</v>
      </c>
      <c r="C11" s="792">
        <f>Össz.önkor.mérleg.!D11</f>
        <v>811138</v>
      </c>
      <c r="D11" s="792">
        <f>Össz.önkor.mérleg.!E11</f>
        <v>131086</v>
      </c>
      <c r="E11" s="792">
        <f>Össz.önkor.mérleg.!F11</f>
        <v>942224</v>
      </c>
      <c r="F11" s="792"/>
      <c r="G11" s="792"/>
      <c r="H11" s="792"/>
      <c r="I11" s="792"/>
      <c r="J11" s="792"/>
      <c r="K11" s="792" t="s">
        <v>27</v>
      </c>
      <c r="L11" s="792">
        <f>Össz.önkor.mérleg.!M11</f>
        <v>119781</v>
      </c>
      <c r="M11" s="792">
        <f>Össz.önkor.mérleg.!N11</f>
        <v>94187</v>
      </c>
      <c r="N11" s="792">
        <f>Össz.önkor.mérleg.!O11</f>
        <v>213968</v>
      </c>
      <c r="O11" s="789"/>
      <c r="P11" s="789"/>
      <c r="Q11" s="789"/>
      <c r="R11" s="789"/>
      <c r="S11" s="789"/>
      <c r="Y11" s="10"/>
      <c r="Z11" s="10"/>
      <c r="AA11" s="10"/>
      <c r="AB11" s="10"/>
      <c r="AC11" s="10"/>
      <c r="AD11" s="10"/>
    </row>
    <row r="12" spans="1:30" x14ac:dyDescent="0.2">
      <c r="A12" s="823">
        <f t="shared" si="0"/>
        <v>4</v>
      </c>
      <c r="B12" s="825" t="s">
        <v>931</v>
      </c>
      <c r="C12" s="792">
        <f>Össz.önkor.mérleg.!D12</f>
        <v>0</v>
      </c>
      <c r="D12" s="792">
        <f>Össz.önkor.mérleg.!E12</f>
        <v>0</v>
      </c>
      <c r="E12" s="792">
        <f>Össz.önkor.mérleg.!F12</f>
        <v>0</v>
      </c>
      <c r="F12" s="792"/>
      <c r="G12" s="792"/>
      <c r="H12" s="792"/>
      <c r="I12" s="792"/>
      <c r="J12" s="792"/>
      <c r="K12" s="792" t="s">
        <v>29</v>
      </c>
      <c r="L12" s="792">
        <f>Össz.önkor.mérleg.!M12</f>
        <v>705212</v>
      </c>
      <c r="M12" s="792">
        <f>Össz.önkor.mérleg.!N12</f>
        <v>594736</v>
      </c>
      <c r="N12" s="792">
        <f>Össz.önkor.mérleg.!O12</f>
        <v>1299948</v>
      </c>
      <c r="O12" s="789"/>
      <c r="P12" s="789"/>
      <c r="Q12" s="789"/>
      <c r="R12" s="789"/>
      <c r="S12" s="789"/>
      <c r="Y12" s="10"/>
      <c r="Z12" s="10"/>
      <c r="AA12" s="10"/>
      <c r="AB12" s="10"/>
      <c r="AC12" s="10"/>
      <c r="AD12" s="10"/>
    </row>
    <row r="13" spans="1:30" ht="12" customHeight="1" x14ac:dyDescent="0.2">
      <c r="A13" s="823">
        <f t="shared" si="0"/>
        <v>5</v>
      </c>
      <c r="B13" s="825" t="s">
        <v>37</v>
      </c>
      <c r="C13" s="792">
        <f>Össz.önkor.mérleg.!D13</f>
        <v>84962</v>
      </c>
      <c r="D13" s="792">
        <f>Össz.önkor.mérleg.!E13</f>
        <v>13766</v>
      </c>
      <c r="E13" s="792">
        <f>Össz.önkor.mérleg.!F13</f>
        <v>98728</v>
      </c>
      <c r="F13" s="792"/>
      <c r="G13" s="792"/>
      <c r="H13" s="792"/>
      <c r="I13" s="792"/>
      <c r="J13" s="792"/>
      <c r="K13" s="792"/>
      <c r="L13" s="792"/>
      <c r="M13" s="792"/>
      <c r="N13" s="826"/>
      <c r="O13" s="789"/>
      <c r="P13" s="789"/>
      <c r="Q13" s="789"/>
      <c r="R13" s="789"/>
      <c r="S13" s="789"/>
      <c r="Y13" s="10"/>
      <c r="Z13" s="10"/>
      <c r="AA13" s="10"/>
      <c r="AB13" s="10"/>
      <c r="AC13" s="10"/>
      <c r="AD13" s="10"/>
    </row>
    <row r="14" spans="1:30" x14ac:dyDescent="0.2">
      <c r="A14" s="823">
        <f t="shared" si="0"/>
        <v>6</v>
      </c>
      <c r="B14" s="825" t="s">
        <v>39</v>
      </c>
      <c r="C14" s="792">
        <f>Össz.önkor.mérleg.!D17</f>
        <v>377747</v>
      </c>
      <c r="D14" s="792">
        <f>Össz.önkor.mérleg.!E17</f>
        <v>862657</v>
      </c>
      <c r="E14" s="792">
        <f>Össz.önkor.mérleg.!F17</f>
        <v>1240404</v>
      </c>
      <c r="F14" s="792"/>
      <c r="G14" s="792"/>
      <c r="H14" s="792"/>
      <c r="I14" s="792"/>
      <c r="J14" s="792"/>
      <c r="K14" s="792" t="s">
        <v>28</v>
      </c>
      <c r="L14" s="792">
        <f>Össz.önkor.mérleg.!M14</f>
        <v>3039</v>
      </c>
      <c r="M14" s="792">
        <f>Össz.önkor.mérleg.!N14</f>
        <v>10950</v>
      </c>
      <c r="N14" s="792">
        <f>Össz.önkor.mérleg.!O14</f>
        <v>13989</v>
      </c>
      <c r="O14" s="789"/>
      <c r="P14" s="789"/>
      <c r="Q14" s="789"/>
      <c r="R14" s="789"/>
      <c r="S14" s="789"/>
      <c r="Y14" s="10"/>
      <c r="Z14" s="10"/>
      <c r="AA14" s="10"/>
      <c r="AB14" s="10"/>
      <c r="AC14" s="10"/>
      <c r="AD14" s="10"/>
    </row>
    <row r="15" spans="1:30" x14ac:dyDescent="0.2">
      <c r="A15" s="823">
        <f t="shared" si="0"/>
        <v>7</v>
      </c>
      <c r="B15" s="825"/>
      <c r="C15" s="792"/>
      <c r="D15" s="792"/>
      <c r="E15" s="792"/>
      <c r="F15" s="792"/>
      <c r="G15" s="792"/>
      <c r="H15" s="792"/>
      <c r="I15" s="792"/>
      <c r="J15" s="792"/>
      <c r="K15" s="792" t="s">
        <v>30</v>
      </c>
      <c r="L15" s="792"/>
      <c r="M15" s="793"/>
      <c r="N15" s="826"/>
      <c r="O15" s="789"/>
      <c r="P15" s="789"/>
      <c r="Q15" s="789"/>
      <c r="R15" s="789"/>
      <c r="S15" s="789"/>
      <c r="Y15" s="10"/>
      <c r="Z15" s="10"/>
      <c r="AA15" s="10"/>
      <c r="AB15" s="10"/>
      <c r="AC15" s="10"/>
      <c r="AD15" s="10"/>
    </row>
    <row r="16" spans="1:30" x14ac:dyDescent="0.2">
      <c r="A16" s="823">
        <f t="shared" si="0"/>
        <v>8</v>
      </c>
      <c r="B16" s="825" t="s">
        <v>41</v>
      </c>
      <c r="C16" s="826">
        <f>Össz.önkor.mérleg.!D20</f>
        <v>330675</v>
      </c>
      <c r="D16" s="826">
        <f>Össz.önkor.mérleg.!E20</f>
        <v>307618</v>
      </c>
      <c r="E16" s="826">
        <f>Össz.önkor.mérleg.!F20</f>
        <v>638293</v>
      </c>
      <c r="F16" s="826"/>
      <c r="G16" s="826"/>
      <c r="H16" s="826"/>
      <c r="I16" s="826"/>
      <c r="J16" s="826"/>
      <c r="K16" s="792" t="s">
        <v>446</v>
      </c>
      <c r="L16" s="792">
        <f>Össz.önkor.mérleg.!M17</f>
        <v>9776</v>
      </c>
      <c r="M16" s="792">
        <f>Össz.önkor.mérleg.!N17</f>
        <v>58216</v>
      </c>
      <c r="N16" s="792">
        <f>Össz.önkor.mérleg.!O17</f>
        <v>67992</v>
      </c>
      <c r="O16" s="789"/>
      <c r="P16" s="789"/>
      <c r="Q16" s="789"/>
      <c r="R16" s="789"/>
      <c r="S16" s="789"/>
      <c r="Y16" s="10"/>
      <c r="Z16" s="10"/>
      <c r="AA16" s="10"/>
      <c r="AB16" s="10"/>
      <c r="AC16" s="10"/>
      <c r="AD16" s="10"/>
    </row>
    <row r="17" spans="1:30" x14ac:dyDescent="0.2">
      <c r="A17" s="823">
        <f t="shared" si="0"/>
        <v>9</v>
      </c>
      <c r="B17" s="827" t="s">
        <v>40</v>
      </c>
      <c r="C17" s="826"/>
      <c r="D17" s="826"/>
      <c r="E17" s="826"/>
      <c r="F17" s="826"/>
      <c r="G17" s="826"/>
      <c r="H17" s="826"/>
      <c r="I17" s="826"/>
      <c r="J17" s="826"/>
      <c r="K17" s="792" t="s">
        <v>445</v>
      </c>
      <c r="L17" s="792">
        <f>Össz.önkor.mérleg.!M18</f>
        <v>159089</v>
      </c>
      <c r="M17" s="792">
        <f>Össz.önkor.mérleg.!N18</f>
        <v>177206</v>
      </c>
      <c r="N17" s="792">
        <f>Össz.önkor.mérleg.!O18</f>
        <v>336295</v>
      </c>
      <c r="O17" s="789"/>
      <c r="P17" s="789"/>
      <c r="Q17" s="789"/>
      <c r="R17" s="789"/>
      <c r="S17" s="789"/>
      <c r="Y17" s="10"/>
      <c r="Z17" s="10"/>
      <c r="AA17" s="10"/>
      <c r="AB17" s="10"/>
      <c r="AC17" s="10"/>
      <c r="AD17" s="10"/>
    </row>
    <row r="18" spans="1:30" x14ac:dyDescent="0.2">
      <c r="A18" s="823">
        <f t="shared" si="0"/>
        <v>10</v>
      </c>
      <c r="B18" s="827"/>
      <c r="C18" s="826"/>
      <c r="D18" s="826"/>
      <c r="E18" s="826"/>
      <c r="F18" s="826"/>
      <c r="G18" s="826"/>
      <c r="H18" s="826"/>
      <c r="I18" s="826"/>
      <c r="J18" s="826"/>
      <c r="K18" s="792" t="s">
        <v>190</v>
      </c>
      <c r="L18" s="792">
        <f>Össz.önkor.mérleg.!M19</f>
        <v>0</v>
      </c>
      <c r="M18" s="792">
        <f>Össz.önkor.mérleg.!N19</f>
        <v>0</v>
      </c>
      <c r="N18" s="792">
        <f>Össz.önkor.mérleg.!O19</f>
        <v>0</v>
      </c>
      <c r="O18" s="789"/>
      <c r="P18" s="789"/>
      <c r="Q18" s="789"/>
      <c r="R18" s="789"/>
      <c r="S18" s="789"/>
      <c r="Y18" s="10"/>
      <c r="Z18" s="10"/>
      <c r="AA18" s="10"/>
      <c r="AB18" s="10"/>
      <c r="AC18" s="10"/>
      <c r="AD18" s="10"/>
    </row>
    <row r="19" spans="1:30" x14ac:dyDescent="0.2">
      <c r="A19" s="823">
        <f t="shared" si="0"/>
        <v>11</v>
      </c>
      <c r="B19" s="825" t="s">
        <v>1118</v>
      </c>
      <c r="C19" s="792">
        <f>Össz.önkor.mérleg.!D29</f>
        <v>0</v>
      </c>
      <c r="D19" s="792">
        <f>Össz.önkor.mérleg.!E29</f>
        <v>20011</v>
      </c>
      <c r="E19" s="792">
        <f>Össz.önkor.mérleg.!F29</f>
        <v>20011</v>
      </c>
      <c r="F19" s="792"/>
      <c r="G19" s="792"/>
      <c r="H19" s="792"/>
      <c r="I19" s="792"/>
      <c r="J19" s="792"/>
      <c r="K19" s="792" t="s">
        <v>438</v>
      </c>
      <c r="L19" s="792">
        <f>Össz.önkor.mérleg.!M20</f>
        <v>0</v>
      </c>
      <c r="M19" s="792">
        <f>Össz.önkor.mérleg.!N20</f>
        <v>3192</v>
      </c>
      <c r="N19" s="792">
        <f>Össz.önkor.mérleg.!O20</f>
        <v>3192</v>
      </c>
      <c r="O19" s="789"/>
      <c r="P19" s="789"/>
      <c r="Q19" s="789"/>
      <c r="R19" s="789"/>
      <c r="S19" s="789"/>
      <c r="Y19" s="10"/>
      <c r="Z19" s="10"/>
      <c r="AA19" s="10"/>
      <c r="AB19" s="10"/>
      <c r="AC19" s="10"/>
      <c r="AD19" s="10"/>
    </row>
    <row r="20" spans="1:30" x14ac:dyDescent="0.2">
      <c r="A20" s="823">
        <f t="shared" si="0"/>
        <v>12</v>
      </c>
      <c r="B20" s="790"/>
      <c r="C20" s="826"/>
      <c r="D20" s="826"/>
      <c r="E20" s="826"/>
      <c r="F20" s="826"/>
      <c r="G20" s="826"/>
      <c r="H20" s="826"/>
      <c r="I20" s="826"/>
      <c r="J20" s="826"/>
      <c r="K20" s="792" t="s">
        <v>439</v>
      </c>
      <c r="L20" s="792">
        <f>Össz.önkor.mérleg.!M21</f>
        <v>55223</v>
      </c>
      <c r="M20" s="792">
        <f>Össz.önkor.mérleg.!N21</f>
        <v>563</v>
      </c>
      <c r="N20" s="792">
        <f>Össz.önkor.mérleg.!O21</f>
        <v>55786</v>
      </c>
      <c r="O20" s="789"/>
      <c r="P20" s="789"/>
      <c r="Q20" s="789"/>
      <c r="R20" s="789"/>
      <c r="S20" s="789"/>
      <c r="Y20" s="10"/>
      <c r="Z20" s="10"/>
      <c r="AA20" s="10"/>
      <c r="AB20" s="10"/>
      <c r="AC20" s="10"/>
      <c r="AD20" s="10"/>
    </row>
    <row r="21" spans="1:30" x14ac:dyDescent="0.2">
      <c r="A21" s="823">
        <f t="shared" si="0"/>
        <v>13</v>
      </c>
      <c r="B21" s="790"/>
      <c r="C21" s="826"/>
      <c r="D21" s="826"/>
      <c r="E21" s="826"/>
      <c r="F21" s="826"/>
      <c r="G21" s="826"/>
      <c r="H21" s="826"/>
      <c r="I21" s="826"/>
      <c r="J21" s="826"/>
      <c r="K21" s="792"/>
      <c r="L21" s="792"/>
      <c r="M21" s="793"/>
      <c r="N21" s="826"/>
      <c r="O21" s="789"/>
      <c r="P21" s="789"/>
      <c r="Q21" s="789"/>
      <c r="R21" s="789"/>
      <c r="S21" s="789"/>
      <c r="Y21" s="10"/>
      <c r="Z21" s="10"/>
      <c r="AA21" s="10"/>
      <c r="AB21" s="10"/>
      <c r="AC21" s="10"/>
      <c r="AD21" s="10"/>
    </row>
    <row r="22" spans="1:30" s="101" customFormat="1" x14ac:dyDescent="0.2">
      <c r="A22" s="823">
        <f t="shared" si="0"/>
        <v>14</v>
      </c>
      <c r="B22" s="828" t="s">
        <v>52</v>
      </c>
      <c r="C22" s="829">
        <f>SUM(C11:C20)</f>
        <v>1604522</v>
      </c>
      <c r="D22" s="829">
        <f>SUM(D11:D20)</f>
        <v>1335138</v>
      </c>
      <c r="E22" s="829">
        <f>SUM(E11:E20)</f>
        <v>2939660</v>
      </c>
      <c r="F22" s="829"/>
      <c r="G22" s="829"/>
      <c r="H22" s="829"/>
      <c r="I22" s="829"/>
      <c r="J22" s="829"/>
      <c r="K22" s="798" t="s">
        <v>66</v>
      </c>
      <c r="L22" s="798">
        <f>SUM(L10:L21)</f>
        <v>1633771</v>
      </c>
      <c r="M22" s="798">
        <f>SUM(M10:M21)</f>
        <v>1371275</v>
      </c>
      <c r="N22" s="798">
        <f>SUM(N10:N21)</f>
        <v>3005046</v>
      </c>
      <c r="O22" s="796"/>
      <c r="P22" s="796"/>
      <c r="Q22" s="796"/>
      <c r="R22" s="796"/>
      <c r="S22" s="796"/>
      <c r="T22" s="132"/>
      <c r="U22" s="132"/>
      <c r="V22" s="132"/>
      <c r="W22" s="132"/>
      <c r="X22" s="132"/>
    </row>
    <row r="23" spans="1:30" s="101" customFormat="1" x14ac:dyDescent="0.2">
      <c r="A23" s="823">
        <f t="shared" si="0"/>
        <v>15</v>
      </c>
      <c r="B23" s="790"/>
      <c r="C23" s="826"/>
      <c r="D23" s="826"/>
      <c r="E23" s="826"/>
      <c r="F23" s="826"/>
      <c r="G23" s="826"/>
      <c r="H23" s="826"/>
      <c r="I23" s="826"/>
      <c r="J23" s="826"/>
      <c r="K23" s="793"/>
      <c r="L23" s="793"/>
      <c r="M23" s="793"/>
      <c r="N23" s="793"/>
      <c r="O23" s="796"/>
      <c r="P23" s="796"/>
      <c r="Q23" s="796"/>
      <c r="R23" s="796"/>
      <c r="S23" s="796"/>
      <c r="T23" s="132"/>
      <c r="U23" s="132"/>
      <c r="V23" s="132"/>
      <c r="W23" s="132"/>
      <c r="X23" s="132"/>
    </row>
    <row r="24" spans="1:30" x14ac:dyDescent="0.2">
      <c r="A24" s="823">
        <f t="shared" si="0"/>
        <v>16</v>
      </c>
      <c r="B24" s="803" t="s">
        <v>51</v>
      </c>
      <c r="C24" s="830">
        <f>SUM(C22:C23)</f>
        <v>1604522</v>
      </c>
      <c r="D24" s="830">
        <f>SUM(D22:D23)</f>
        <v>1335138</v>
      </c>
      <c r="E24" s="830">
        <f>SUM(E22:E23)</f>
        <v>2939660</v>
      </c>
      <c r="F24" s="830"/>
      <c r="G24" s="830"/>
      <c r="H24" s="830"/>
      <c r="I24" s="830"/>
      <c r="J24" s="830"/>
      <c r="K24" s="799" t="s">
        <v>69</v>
      </c>
      <c r="L24" s="799">
        <f>SUM(L22:L23)</f>
        <v>1633771</v>
      </c>
      <c r="M24" s="799">
        <f>SUM(M22:M23)</f>
        <v>1371275</v>
      </c>
      <c r="N24" s="799">
        <f>SUM(N22:N23)</f>
        <v>3005046</v>
      </c>
      <c r="O24" s="789"/>
      <c r="P24" s="789"/>
      <c r="Q24" s="789"/>
      <c r="R24" s="789"/>
      <c r="S24" s="789"/>
      <c r="Y24" s="10"/>
      <c r="Z24" s="10"/>
      <c r="AA24" s="10"/>
      <c r="AB24" s="10"/>
      <c r="AC24" s="10"/>
      <c r="AD24" s="10"/>
    </row>
    <row r="25" spans="1:30" x14ac:dyDescent="0.2">
      <c r="A25" s="831">
        <f t="shared" si="0"/>
        <v>17</v>
      </c>
      <c r="B25" s="832"/>
      <c r="C25" s="833"/>
      <c r="D25" s="833"/>
      <c r="E25" s="833"/>
      <c r="F25" s="833"/>
      <c r="G25" s="833"/>
      <c r="H25" s="833"/>
      <c r="I25" s="833"/>
      <c r="J25" s="833"/>
      <c r="K25" s="793"/>
      <c r="L25" s="793"/>
      <c r="M25" s="793"/>
      <c r="N25" s="793"/>
      <c r="O25" s="789"/>
      <c r="P25" s="789"/>
      <c r="Q25" s="789"/>
      <c r="R25" s="789"/>
      <c r="S25" s="789"/>
      <c r="Y25" s="10"/>
      <c r="Z25" s="10"/>
      <c r="AA25" s="10"/>
      <c r="AB25" s="10"/>
      <c r="AC25" s="10"/>
      <c r="AD25" s="10"/>
    </row>
    <row r="26" spans="1:30" x14ac:dyDescent="0.2">
      <c r="A26" s="831">
        <f t="shared" si="0"/>
        <v>18</v>
      </c>
      <c r="B26" s="834" t="s">
        <v>629</v>
      </c>
      <c r="C26" s="800">
        <f>C24-L24</f>
        <v>-29249</v>
      </c>
      <c r="D26" s="800">
        <f>D24-M24</f>
        <v>-36137</v>
      </c>
      <c r="E26" s="800">
        <f>E24-N24</f>
        <v>-65386</v>
      </c>
      <c r="F26" s="800"/>
      <c r="G26" s="800"/>
      <c r="H26" s="800"/>
      <c r="I26" s="800"/>
      <c r="J26" s="800"/>
      <c r="K26" s="800"/>
      <c r="L26" s="799"/>
      <c r="M26" s="799"/>
      <c r="N26" s="793"/>
      <c r="O26" s="789"/>
      <c r="P26" s="789"/>
      <c r="Q26" s="789"/>
      <c r="R26" s="789"/>
      <c r="S26" s="789"/>
      <c r="Y26" s="10"/>
      <c r="Z26" s="10"/>
      <c r="AA26" s="10"/>
      <c r="AB26" s="10"/>
      <c r="AC26" s="10"/>
      <c r="AD26" s="10"/>
    </row>
    <row r="27" spans="1:30" x14ac:dyDescent="0.2">
      <c r="A27" s="831">
        <f t="shared" si="0"/>
        <v>19</v>
      </c>
      <c r="B27" s="835" t="s">
        <v>1205</v>
      </c>
      <c r="C27" s="792"/>
      <c r="D27" s="792"/>
      <c r="E27" s="800">
        <f>C27+D27</f>
        <v>0</v>
      </c>
      <c r="F27" s="800"/>
      <c r="G27" s="800"/>
      <c r="H27" s="800"/>
      <c r="I27" s="800"/>
      <c r="J27" s="800"/>
      <c r="K27" s="792"/>
      <c r="L27" s="793"/>
      <c r="M27" s="793"/>
      <c r="N27" s="793"/>
      <c r="O27" s="789"/>
      <c r="P27" s="789"/>
      <c r="Q27" s="789"/>
      <c r="R27" s="789"/>
      <c r="S27" s="789"/>
      <c r="Y27" s="10"/>
      <c r="Z27" s="10"/>
      <c r="AA27" s="10"/>
      <c r="AB27" s="10"/>
      <c r="AC27" s="10"/>
      <c r="AD27" s="10"/>
    </row>
    <row r="28" spans="1:30" x14ac:dyDescent="0.2">
      <c r="A28" s="831">
        <f t="shared" si="0"/>
        <v>20</v>
      </c>
      <c r="B28" s="800" t="s">
        <v>53</v>
      </c>
      <c r="C28" s="800"/>
      <c r="D28" s="800"/>
      <c r="E28" s="800"/>
      <c r="F28" s="800"/>
      <c r="G28" s="800"/>
      <c r="H28" s="800"/>
      <c r="I28" s="800"/>
      <c r="J28" s="800"/>
      <c r="K28" s="800" t="s">
        <v>33</v>
      </c>
      <c r="L28" s="793"/>
      <c r="M28" s="793"/>
      <c r="N28" s="793"/>
      <c r="O28" s="789"/>
      <c r="P28" s="789"/>
      <c r="Q28" s="789"/>
      <c r="R28" s="789"/>
      <c r="S28" s="789"/>
      <c r="Y28" s="10"/>
      <c r="Z28" s="10"/>
      <c r="AA28" s="10"/>
      <c r="AB28" s="10"/>
      <c r="AC28" s="10"/>
      <c r="AD28" s="10"/>
    </row>
    <row r="29" spans="1:30" s="101" customFormat="1" x14ac:dyDescent="0.2">
      <c r="A29" s="831">
        <f t="shared" si="0"/>
        <v>21</v>
      </c>
      <c r="B29" s="806" t="s">
        <v>682</v>
      </c>
      <c r="C29" s="800"/>
      <c r="D29" s="800"/>
      <c r="E29" s="800"/>
      <c r="F29" s="800"/>
      <c r="G29" s="800"/>
      <c r="H29" s="800"/>
      <c r="I29" s="800"/>
      <c r="J29" s="800"/>
      <c r="K29" s="806" t="s">
        <v>4</v>
      </c>
      <c r="L29" s="793"/>
      <c r="M29" s="793"/>
      <c r="N29" s="793"/>
      <c r="O29" s="796"/>
      <c r="P29" s="796"/>
      <c r="Q29" s="796"/>
      <c r="R29" s="796"/>
      <c r="S29" s="796"/>
      <c r="T29" s="132"/>
      <c r="U29" s="132"/>
      <c r="V29" s="132"/>
      <c r="W29" s="132"/>
      <c r="X29" s="132"/>
    </row>
    <row r="30" spans="1:30" ht="21.75" x14ac:dyDescent="0.2">
      <c r="A30" s="831">
        <f t="shared" si="0"/>
        <v>22</v>
      </c>
      <c r="B30" s="836" t="s">
        <v>997</v>
      </c>
      <c r="C30" s="837">
        <f>Össz.önkor.mérleg.!D41</f>
        <v>634227</v>
      </c>
      <c r="D30" s="837">
        <f>Össz.önkor.mérleg.!E41</f>
        <v>0</v>
      </c>
      <c r="E30" s="837">
        <f>Össz.önkor.mérleg.!F41</f>
        <v>634227</v>
      </c>
      <c r="F30" s="837"/>
      <c r="G30" s="837"/>
      <c r="H30" s="837"/>
      <c r="I30" s="837"/>
      <c r="J30" s="837"/>
      <c r="K30" s="790" t="s">
        <v>3</v>
      </c>
      <c r="L30" s="793"/>
      <c r="M30" s="793"/>
      <c r="N30" s="793"/>
      <c r="O30" s="789"/>
      <c r="P30" s="789"/>
      <c r="Q30" s="789"/>
      <c r="R30" s="789"/>
      <c r="S30" s="789"/>
      <c r="Y30" s="10"/>
      <c r="Z30" s="10"/>
      <c r="AA30" s="10"/>
      <c r="AB30" s="10"/>
      <c r="AC30" s="10"/>
      <c r="AD30" s="10"/>
    </row>
    <row r="31" spans="1:30" x14ac:dyDescent="0.2">
      <c r="A31" s="831">
        <f t="shared" si="0"/>
        <v>23</v>
      </c>
      <c r="B31" s="790" t="s">
        <v>996</v>
      </c>
      <c r="C31" s="838">
        <f>-'felhalm. mérleg'!C33</f>
        <v>-634227</v>
      </c>
      <c r="D31" s="838">
        <v>0</v>
      </c>
      <c r="E31" s="837">
        <f>C31+D31</f>
        <v>-634227</v>
      </c>
      <c r="F31" s="837"/>
      <c r="G31" s="837"/>
      <c r="H31" s="837"/>
      <c r="I31" s="837"/>
      <c r="J31" s="837"/>
      <c r="K31" s="790"/>
      <c r="L31" s="793"/>
      <c r="M31" s="793"/>
      <c r="N31" s="793"/>
      <c r="O31" s="789"/>
      <c r="P31" s="789"/>
      <c r="Q31" s="789"/>
      <c r="R31" s="789"/>
      <c r="S31" s="789"/>
      <c r="Y31" s="10"/>
      <c r="Z31" s="10"/>
      <c r="AA31" s="10"/>
      <c r="AB31" s="10"/>
      <c r="AC31" s="10"/>
      <c r="AD31" s="10"/>
    </row>
    <row r="32" spans="1:30" s="11" customFormat="1" x14ac:dyDescent="0.2">
      <c r="A32" s="831">
        <f t="shared" si="0"/>
        <v>24</v>
      </c>
      <c r="B32" s="792" t="s">
        <v>636</v>
      </c>
      <c r="C32" s="807"/>
      <c r="D32" s="806"/>
      <c r="E32" s="806">
        <f>SUM(C32:D32)</f>
        <v>0</v>
      </c>
      <c r="F32" s="806"/>
      <c r="G32" s="806"/>
      <c r="H32" s="806"/>
      <c r="I32" s="806"/>
      <c r="J32" s="806"/>
      <c r="K32" s="792" t="s">
        <v>5</v>
      </c>
      <c r="L32" s="793"/>
      <c r="M32" s="793"/>
      <c r="N32" s="793"/>
      <c r="O32" s="802"/>
      <c r="P32" s="802"/>
      <c r="Q32" s="802"/>
      <c r="R32" s="802"/>
      <c r="S32" s="802"/>
      <c r="T32" s="130"/>
      <c r="U32" s="130"/>
      <c r="V32" s="130"/>
      <c r="W32" s="130"/>
      <c r="X32" s="130"/>
    </row>
    <row r="33" spans="1:30" x14ac:dyDescent="0.2">
      <c r="A33" s="831">
        <f t="shared" si="0"/>
        <v>25</v>
      </c>
      <c r="B33" s="792" t="s">
        <v>683</v>
      </c>
      <c r="C33" s="792"/>
      <c r="D33" s="792"/>
      <c r="E33" s="792"/>
      <c r="F33" s="792"/>
      <c r="G33" s="792"/>
      <c r="H33" s="792"/>
      <c r="I33" s="792"/>
      <c r="J33" s="792"/>
      <c r="K33" s="792" t="s">
        <v>6</v>
      </c>
      <c r="L33" s="839"/>
      <c r="M33" s="839"/>
      <c r="N33" s="839"/>
      <c r="O33" s="789"/>
      <c r="P33" s="789"/>
      <c r="Q33" s="789"/>
      <c r="R33" s="789"/>
      <c r="S33" s="789"/>
      <c r="Y33" s="10"/>
      <c r="Z33" s="10"/>
      <c r="AA33" s="10"/>
      <c r="AB33" s="10"/>
      <c r="AC33" s="10"/>
      <c r="AD33" s="10"/>
    </row>
    <row r="34" spans="1:30" x14ac:dyDescent="0.2">
      <c r="A34" s="831">
        <f t="shared" si="0"/>
        <v>26</v>
      </c>
      <c r="B34" s="792" t="s">
        <v>638</v>
      </c>
      <c r="C34" s="792">
        <f>Össz.önkor.mérleg.!D44</f>
        <v>630751</v>
      </c>
      <c r="D34" s="792">
        <f>Össz.önkor.mérleg.!E44</f>
        <v>262319</v>
      </c>
      <c r="E34" s="792">
        <f>SUM(C34:D34)</f>
        <v>893070</v>
      </c>
      <c r="F34" s="792"/>
      <c r="G34" s="792"/>
      <c r="H34" s="792"/>
      <c r="I34" s="792"/>
      <c r="J34" s="792"/>
      <c r="K34" s="792" t="s">
        <v>7</v>
      </c>
      <c r="L34" s="799"/>
      <c r="M34" s="799"/>
      <c r="N34" s="799"/>
      <c r="O34" s="789"/>
      <c r="P34" s="789"/>
      <c r="Q34" s="789"/>
      <c r="R34" s="789"/>
      <c r="S34" s="789"/>
      <c r="Y34" s="10"/>
      <c r="Z34" s="10"/>
      <c r="AA34" s="10"/>
      <c r="AB34" s="10"/>
      <c r="AC34" s="10"/>
      <c r="AD34" s="10"/>
    </row>
    <row r="35" spans="1:30" x14ac:dyDescent="0.2">
      <c r="A35" s="831">
        <f t="shared" si="0"/>
        <v>27</v>
      </c>
      <c r="B35" s="792" t="s">
        <v>958</v>
      </c>
      <c r="C35" s="792">
        <f>Össz.önkor.mérleg.!D45</f>
        <v>0</v>
      </c>
      <c r="D35" s="792">
        <f>Össz.önkor.mérleg.!E45</f>
        <v>0</v>
      </c>
      <c r="E35" s="792">
        <f>Össz.önkor.mérleg.!F45</f>
        <v>0</v>
      </c>
      <c r="F35" s="792"/>
      <c r="G35" s="792"/>
      <c r="H35" s="792"/>
      <c r="I35" s="792"/>
      <c r="J35" s="792"/>
      <c r="K35" s="792"/>
      <c r="L35" s="799"/>
      <c r="M35" s="799"/>
      <c r="N35" s="799"/>
      <c r="O35" s="789"/>
      <c r="P35" s="789"/>
      <c r="Q35" s="789"/>
      <c r="R35" s="789"/>
      <c r="S35" s="789"/>
      <c r="Y35" s="10"/>
      <c r="Z35" s="10"/>
      <c r="AA35" s="10"/>
      <c r="AB35" s="10"/>
      <c r="AC35" s="10"/>
      <c r="AD35" s="10"/>
    </row>
    <row r="36" spans="1:30" x14ac:dyDescent="0.2">
      <c r="A36" s="831">
        <f t="shared" si="0"/>
        <v>28</v>
      </c>
      <c r="B36" s="825" t="s">
        <v>637</v>
      </c>
      <c r="C36" s="792">
        <f>-(C26+C34-L44)-C27-C37</f>
        <v>-571632</v>
      </c>
      <c r="D36" s="792">
        <f>-(D26+D34-M44)-D27-D37</f>
        <v>-221922</v>
      </c>
      <c r="E36" s="792">
        <f>-(E26+E34-N44)-E27-E37</f>
        <v>-793554</v>
      </c>
      <c r="F36" s="792"/>
      <c r="G36" s="792"/>
      <c r="H36" s="792"/>
      <c r="I36" s="792"/>
      <c r="J36" s="792"/>
      <c r="K36" s="792" t="s">
        <v>8</v>
      </c>
      <c r="L36" s="793"/>
      <c r="M36" s="793"/>
      <c r="N36" s="793"/>
      <c r="O36" s="789"/>
      <c r="P36" s="789"/>
      <c r="Q36" s="789"/>
      <c r="R36" s="789"/>
      <c r="S36" s="789"/>
      <c r="Y36" s="10"/>
      <c r="Z36" s="10"/>
      <c r="AA36" s="10"/>
      <c r="AB36" s="10"/>
      <c r="AC36" s="10"/>
      <c r="AD36" s="10"/>
    </row>
    <row r="37" spans="1:30" x14ac:dyDescent="0.2">
      <c r="A37" s="831">
        <f t="shared" si="0"/>
        <v>29</v>
      </c>
      <c r="B37" s="792" t="s">
        <v>685</v>
      </c>
      <c r="C37" s="792">
        <f>Össz.önkor.mérleg.!D46</f>
        <v>1969</v>
      </c>
      <c r="D37" s="792">
        <f>Össz.önkor.mérleg.!E46</f>
        <v>0</v>
      </c>
      <c r="E37" s="792">
        <f>Össz.önkor.mérleg.!F46</f>
        <v>1969</v>
      </c>
      <c r="F37" s="792"/>
      <c r="G37" s="792"/>
      <c r="H37" s="792"/>
      <c r="I37" s="792"/>
      <c r="J37" s="792"/>
      <c r="K37" s="792" t="s">
        <v>9</v>
      </c>
      <c r="L37" s="798">
        <f>Össz.önkor.mérleg.!M47</f>
        <v>31839</v>
      </c>
      <c r="M37" s="798">
        <f>Össz.önkor.mérleg.!N47</f>
        <v>4260</v>
      </c>
      <c r="N37" s="798">
        <f>Össz.önkor.mérleg.!O47</f>
        <v>36099</v>
      </c>
      <c r="O37" s="789"/>
      <c r="P37" s="789"/>
      <c r="Q37" s="789"/>
      <c r="R37" s="789"/>
      <c r="S37" s="789"/>
      <c r="Y37" s="10"/>
      <c r="Z37" s="10"/>
      <c r="AA37" s="10"/>
      <c r="AB37" s="10"/>
      <c r="AC37" s="10"/>
      <c r="AD37" s="10"/>
    </row>
    <row r="38" spans="1:30" s="11" customFormat="1" x14ac:dyDescent="0.2">
      <c r="A38" s="831">
        <f t="shared" si="0"/>
        <v>30</v>
      </c>
      <c r="B38" s="792" t="s">
        <v>686</v>
      </c>
      <c r="C38" s="792"/>
      <c r="D38" s="792"/>
      <c r="E38" s="792"/>
      <c r="F38" s="792"/>
      <c r="G38" s="792"/>
      <c r="H38" s="792"/>
      <c r="I38" s="792"/>
      <c r="J38" s="792"/>
      <c r="K38" s="792" t="s">
        <v>10</v>
      </c>
      <c r="L38" s="793"/>
      <c r="M38" s="793"/>
      <c r="N38" s="793"/>
      <c r="O38" s="802"/>
      <c r="P38" s="802"/>
      <c r="Q38" s="802"/>
      <c r="R38" s="802"/>
      <c r="S38" s="802"/>
      <c r="T38" s="130"/>
      <c r="U38" s="130"/>
      <c r="V38" s="130"/>
      <c r="W38" s="130"/>
      <c r="X38" s="130"/>
    </row>
    <row r="39" spans="1:30" s="11" customFormat="1" x14ac:dyDescent="0.2">
      <c r="A39" s="831">
        <f t="shared" si="0"/>
        <v>31</v>
      </c>
      <c r="B39" s="792" t="s">
        <v>687</v>
      </c>
      <c r="C39" s="792"/>
      <c r="D39" s="792"/>
      <c r="E39" s="792"/>
      <c r="F39" s="792"/>
      <c r="G39" s="792"/>
      <c r="H39" s="792"/>
      <c r="I39" s="792"/>
      <c r="J39" s="792"/>
      <c r="K39" s="792" t="s">
        <v>11</v>
      </c>
      <c r="L39" s="799"/>
      <c r="M39" s="799"/>
      <c r="N39" s="799"/>
      <c r="O39" s="802"/>
      <c r="P39" s="802"/>
      <c r="Q39" s="802"/>
      <c r="R39" s="802"/>
      <c r="S39" s="802"/>
      <c r="T39" s="130"/>
      <c r="U39" s="130"/>
      <c r="V39" s="130"/>
      <c r="W39" s="130"/>
      <c r="X39" s="130"/>
    </row>
    <row r="40" spans="1:30" s="11" customFormat="1" x14ac:dyDescent="0.2">
      <c r="A40" s="831">
        <f t="shared" si="0"/>
        <v>32</v>
      </c>
      <c r="B40" s="792" t="s">
        <v>688</v>
      </c>
      <c r="C40" s="792"/>
      <c r="D40" s="792"/>
      <c r="E40" s="792"/>
      <c r="F40" s="792"/>
      <c r="G40" s="792"/>
      <c r="H40" s="792"/>
      <c r="I40" s="792"/>
      <c r="J40" s="792"/>
      <c r="K40" s="792" t="s">
        <v>12</v>
      </c>
      <c r="L40" s="799"/>
      <c r="M40" s="803"/>
      <c r="N40" s="803"/>
      <c r="O40" s="802"/>
      <c r="P40" s="802"/>
      <c r="Q40" s="802"/>
      <c r="R40" s="802"/>
      <c r="S40" s="802"/>
      <c r="T40" s="130"/>
      <c r="U40" s="130"/>
      <c r="V40" s="130"/>
      <c r="W40" s="130"/>
      <c r="X40" s="130"/>
    </row>
    <row r="41" spans="1:30" s="11" customFormat="1" x14ac:dyDescent="0.2">
      <c r="A41" s="831">
        <f t="shared" si="0"/>
        <v>33</v>
      </c>
      <c r="B41" s="792" t="s">
        <v>0</v>
      </c>
      <c r="C41" s="792"/>
      <c r="D41" s="792"/>
      <c r="E41" s="792"/>
      <c r="F41" s="792"/>
      <c r="G41" s="792"/>
      <c r="H41" s="792"/>
      <c r="I41" s="792"/>
      <c r="J41" s="792"/>
      <c r="K41" s="792" t="s">
        <v>13</v>
      </c>
      <c r="L41" s="799"/>
      <c r="M41" s="799"/>
      <c r="N41" s="799"/>
      <c r="O41" s="802"/>
      <c r="P41" s="802"/>
      <c r="Q41" s="802"/>
      <c r="R41" s="802"/>
      <c r="S41" s="802"/>
      <c r="T41" s="130"/>
      <c r="U41" s="130"/>
      <c r="V41" s="130"/>
      <c r="W41" s="130"/>
      <c r="X41" s="130"/>
    </row>
    <row r="42" spans="1:30" x14ac:dyDescent="0.2">
      <c r="A42" s="831">
        <f t="shared" si="0"/>
        <v>34</v>
      </c>
      <c r="B42" s="792" t="s">
        <v>1</v>
      </c>
      <c r="C42" s="792">
        <f>Össz.önkor.mérleg.!D51</f>
        <v>0</v>
      </c>
      <c r="D42" s="792">
        <f>Össz.önkor.mérleg.!E51</f>
        <v>0</v>
      </c>
      <c r="E42" s="792">
        <f>Össz.önkor.mérleg.!F51</f>
        <v>0</v>
      </c>
      <c r="F42" s="792"/>
      <c r="G42" s="792"/>
      <c r="H42" s="792"/>
      <c r="I42" s="792"/>
      <c r="J42" s="792"/>
      <c r="K42" s="792" t="s">
        <v>14</v>
      </c>
      <c r="L42" s="799"/>
      <c r="M42" s="799"/>
      <c r="N42" s="799"/>
      <c r="O42" s="789"/>
      <c r="P42" s="789"/>
      <c r="Q42" s="789"/>
      <c r="R42" s="789"/>
      <c r="S42" s="789"/>
      <c r="Y42" s="10"/>
      <c r="Z42" s="10"/>
      <c r="AA42" s="10"/>
      <c r="AB42" s="10"/>
      <c r="AC42" s="10"/>
      <c r="AD42" s="10"/>
    </row>
    <row r="43" spans="1:30" x14ac:dyDescent="0.2">
      <c r="A43" s="831">
        <f t="shared" si="0"/>
        <v>35</v>
      </c>
      <c r="B43" s="792" t="s">
        <v>2</v>
      </c>
      <c r="C43" s="792"/>
      <c r="D43" s="792"/>
      <c r="E43" s="792"/>
      <c r="F43" s="792"/>
      <c r="G43" s="792"/>
      <c r="H43" s="792"/>
      <c r="I43" s="792"/>
      <c r="J43" s="792"/>
      <c r="K43" s="792" t="s">
        <v>15</v>
      </c>
      <c r="L43" s="799"/>
      <c r="M43" s="799"/>
      <c r="N43" s="799"/>
      <c r="O43" s="789"/>
      <c r="P43" s="789"/>
      <c r="Q43" s="789"/>
      <c r="R43" s="789"/>
      <c r="S43" s="789"/>
      <c r="Y43" s="10"/>
      <c r="Z43" s="10"/>
      <c r="AA43" s="10"/>
      <c r="AB43" s="10"/>
      <c r="AC43" s="10"/>
      <c r="AD43" s="10"/>
    </row>
    <row r="44" spans="1:30" ht="12" thickBot="1" x14ac:dyDescent="0.25">
      <c r="A44" s="840">
        <f t="shared" si="0"/>
        <v>36</v>
      </c>
      <c r="B44" s="841" t="s">
        <v>448</v>
      </c>
      <c r="C44" s="810">
        <f>SUM(C29:C42)</f>
        <v>61088</v>
      </c>
      <c r="D44" s="810">
        <f t="shared" ref="D44:E44" si="1">SUM(D29:D42)</f>
        <v>40397</v>
      </c>
      <c r="E44" s="810">
        <f t="shared" si="1"/>
        <v>101485</v>
      </c>
      <c r="F44" s="810"/>
      <c r="G44" s="810"/>
      <c r="H44" s="810"/>
      <c r="I44" s="810"/>
      <c r="J44" s="810"/>
      <c r="K44" s="810" t="s">
        <v>441</v>
      </c>
      <c r="L44" s="811">
        <f>SUM(L29:L43)</f>
        <v>31839</v>
      </c>
      <c r="M44" s="811">
        <f>SUM(M29:M43)</f>
        <v>4260</v>
      </c>
      <c r="N44" s="811">
        <f>SUM(N29:N43)</f>
        <v>36099</v>
      </c>
      <c r="O44" s="812"/>
      <c r="P44" s="812"/>
      <c r="Q44" s="812"/>
      <c r="R44" s="812"/>
      <c r="S44" s="812"/>
      <c r="Y44" s="10"/>
      <c r="Z44" s="10"/>
      <c r="AA44" s="10"/>
      <c r="AB44" s="10"/>
      <c r="AC44" s="10"/>
      <c r="AD44" s="10"/>
    </row>
    <row r="45" spans="1:30" ht="12" thickBot="1" x14ac:dyDescent="0.25">
      <c r="A45" s="842">
        <f t="shared" si="0"/>
        <v>37</v>
      </c>
      <c r="B45" s="698" t="s">
        <v>443</v>
      </c>
      <c r="C45" s="695">
        <f>C24+C44+C27</f>
        <v>1665610</v>
      </c>
      <c r="D45" s="695">
        <f t="shared" ref="D45:E45" si="2">D24+D44+D27</f>
        <v>1375535</v>
      </c>
      <c r="E45" s="695">
        <f t="shared" si="2"/>
        <v>3041145</v>
      </c>
      <c r="F45" s="695"/>
      <c r="G45" s="695"/>
      <c r="H45" s="695"/>
      <c r="I45" s="695"/>
      <c r="J45" s="695"/>
      <c r="K45" s="698" t="s">
        <v>442</v>
      </c>
      <c r="L45" s="695">
        <f>L24+L44</f>
        <v>1665610</v>
      </c>
      <c r="M45" s="695">
        <f>M24+M44</f>
        <v>1375535</v>
      </c>
      <c r="N45" s="814">
        <f>N24+N44</f>
        <v>3041145</v>
      </c>
      <c r="O45" s="815"/>
      <c r="P45" s="815"/>
      <c r="Q45" s="815"/>
      <c r="R45" s="815"/>
      <c r="S45" s="843"/>
      <c r="Y45" s="10"/>
      <c r="Z45" s="10"/>
      <c r="AA45" s="10"/>
      <c r="AB45" s="10"/>
      <c r="AC45" s="10"/>
      <c r="AD45" s="10"/>
    </row>
    <row r="46" spans="1:30" x14ac:dyDescent="0.2">
      <c r="B46" s="130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Y46" s="10"/>
      <c r="Z46" s="10"/>
      <c r="AA46" s="10"/>
      <c r="AB46" s="10"/>
      <c r="AC46" s="10"/>
      <c r="AD46" s="10"/>
    </row>
  </sheetData>
  <sheetProtection selectLockedCells="1" selectUnlockedCells="1"/>
  <mergeCells count="15">
    <mergeCell ref="O7:P7"/>
    <mergeCell ref="Q7:S7"/>
    <mergeCell ref="L6:S6"/>
    <mergeCell ref="B1:N1"/>
    <mergeCell ref="C7:E7"/>
    <mergeCell ref="L7:N7"/>
    <mergeCell ref="B3:N3"/>
    <mergeCell ref="B4:N4"/>
    <mergeCell ref="A5:N5"/>
    <mergeCell ref="A6:A8"/>
    <mergeCell ref="B6:B7"/>
    <mergeCell ref="C6:E6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6"/>
  <sheetViews>
    <sheetView topLeftCell="E1" zoomScale="120" workbookViewId="0">
      <selection activeCell="D9" sqref="D9:F9"/>
    </sheetView>
  </sheetViews>
  <sheetFormatPr defaultColWidth="9.140625" defaultRowHeight="11.25" x14ac:dyDescent="0.2"/>
  <cols>
    <col min="1" max="1" width="3" style="10" customWidth="1"/>
    <col min="2" max="2" width="4.85546875" style="118" customWidth="1"/>
    <col min="3" max="3" width="36.85546875" style="118" customWidth="1"/>
    <col min="4" max="11" width="10" style="119" customWidth="1"/>
    <col min="12" max="12" width="35.42578125" style="119" customWidth="1"/>
    <col min="13" max="15" width="10" style="209" customWidth="1"/>
    <col min="16" max="16" width="10" style="118" customWidth="1"/>
    <col min="17" max="18" width="10" style="10" customWidth="1"/>
    <col min="19" max="19" width="10.140625" style="10" customWidth="1"/>
    <col min="20" max="20" width="10" style="10" customWidth="1"/>
    <col min="21" max="16384" width="9.140625" style="10"/>
  </cols>
  <sheetData>
    <row r="1" spans="1:20" ht="12.75" customHeight="1" x14ac:dyDescent="0.2">
      <c r="C1" s="1398" t="s">
        <v>1422</v>
      </c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</row>
    <row r="2" spans="1:20" x14ac:dyDescent="0.2">
      <c r="O2" s="258"/>
    </row>
    <row r="3" spans="1:20" x14ac:dyDescent="0.2">
      <c r="O3" s="258"/>
    </row>
    <row r="4" spans="1:20" s="99" customFormat="1" x14ac:dyDescent="0.2">
      <c r="B4" s="121"/>
      <c r="C4" s="1406" t="s">
        <v>77</v>
      </c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406"/>
      <c r="P4" s="1406"/>
      <c r="Q4" s="1406"/>
      <c r="R4" s="1406"/>
      <c r="S4" s="1406"/>
      <c r="T4" s="1406"/>
    </row>
    <row r="5" spans="1:20" s="99" customFormat="1" x14ac:dyDescent="0.2">
      <c r="B5" s="121"/>
      <c r="C5" s="1535" t="s">
        <v>183</v>
      </c>
      <c r="D5" s="1535"/>
      <c r="E5" s="1535"/>
      <c r="F5" s="1535"/>
      <c r="G5" s="1535"/>
      <c r="H5" s="1535"/>
      <c r="I5" s="1535"/>
      <c r="J5" s="1535"/>
      <c r="K5" s="1535"/>
      <c r="L5" s="1535"/>
      <c r="M5" s="1535"/>
      <c r="N5" s="1535"/>
      <c r="O5" s="1535"/>
      <c r="P5" s="1535"/>
      <c r="Q5" s="1535"/>
      <c r="R5" s="1535"/>
      <c r="S5" s="1535"/>
      <c r="T5" s="1535"/>
    </row>
    <row r="6" spans="1:20" s="99" customFormat="1" x14ac:dyDescent="0.2">
      <c r="B6" s="121"/>
      <c r="C6" s="1406" t="s">
        <v>1136</v>
      </c>
      <c r="D6" s="1406"/>
      <c r="E6" s="1406"/>
      <c r="F6" s="1406"/>
      <c r="G6" s="1406"/>
      <c r="H6" s="1406"/>
      <c r="I6" s="1406"/>
      <c r="J6" s="1406"/>
      <c r="K6" s="1406"/>
      <c r="L6" s="1406"/>
      <c r="M6" s="1406"/>
      <c r="N6" s="1406"/>
      <c r="O6" s="1406"/>
      <c r="P6" s="1406"/>
      <c r="Q6" s="1406"/>
      <c r="R6" s="1406"/>
      <c r="S6" s="1406"/>
      <c r="T6" s="1406"/>
    </row>
    <row r="7" spans="1:20" s="99" customFormat="1" x14ac:dyDescent="0.2">
      <c r="B7" s="121"/>
      <c r="C7" s="1405" t="s">
        <v>302</v>
      </c>
      <c r="D7" s="1405"/>
      <c r="E7" s="1405"/>
      <c r="F7" s="1405"/>
      <c r="G7" s="1405"/>
      <c r="H7" s="1405"/>
      <c r="I7" s="1405"/>
      <c r="J7" s="1405"/>
      <c r="K7" s="1405"/>
      <c r="L7" s="1405"/>
      <c r="M7" s="1405"/>
      <c r="N7" s="1405"/>
      <c r="O7" s="1405"/>
      <c r="P7" s="121"/>
    </row>
    <row r="8" spans="1:20" s="99" customFormat="1" ht="12.75" customHeight="1" x14ac:dyDescent="0.2">
      <c r="B8" s="1399" t="s">
        <v>56</v>
      </c>
      <c r="C8" s="1401" t="s">
        <v>57</v>
      </c>
      <c r="D8" s="1401" t="s">
        <v>58</v>
      </c>
      <c r="E8" s="1401"/>
      <c r="F8" s="1401"/>
      <c r="G8" s="1401"/>
      <c r="H8" s="1401"/>
      <c r="I8" s="1401"/>
      <c r="J8" s="1401"/>
      <c r="K8" s="1401"/>
      <c r="L8" s="1644" t="s">
        <v>59</v>
      </c>
      <c r="M8" s="1643" t="s">
        <v>60</v>
      </c>
      <c r="N8" s="1643"/>
      <c r="O8" s="1643"/>
      <c r="P8" s="1643"/>
      <c r="Q8" s="1643"/>
      <c r="R8" s="1643"/>
      <c r="S8" s="1643"/>
      <c r="T8" s="1643"/>
    </row>
    <row r="9" spans="1:20" s="99" customFormat="1" ht="12.75" customHeight="1" x14ac:dyDescent="0.2">
      <c r="B9" s="1399"/>
      <c r="C9" s="1401"/>
      <c r="D9" s="1403" t="s">
        <v>1419</v>
      </c>
      <c r="E9" s="1403"/>
      <c r="F9" s="1403"/>
      <c r="G9" s="1403" t="s">
        <v>1400</v>
      </c>
      <c r="H9" s="1403"/>
      <c r="I9" s="1403" t="s">
        <v>1412</v>
      </c>
      <c r="J9" s="1403"/>
      <c r="K9" s="1403"/>
      <c r="L9" s="1644"/>
      <c r="M9" s="1403" t="s">
        <v>1419</v>
      </c>
      <c r="N9" s="1403"/>
      <c r="O9" s="1403"/>
      <c r="P9" s="1403" t="s">
        <v>1400</v>
      </c>
      <c r="Q9" s="1403"/>
      <c r="R9" s="1403" t="s">
        <v>1425</v>
      </c>
      <c r="S9" s="1403"/>
      <c r="T9" s="1403"/>
    </row>
    <row r="10" spans="1:20" s="221" customFormat="1" ht="36.6" customHeight="1" x14ac:dyDescent="0.2">
      <c r="B10" s="1399"/>
      <c r="C10" s="1380" t="s">
        <v>61</v>
      </c>
      <c r="D10" s="817" t="s">
        <v>62</v>
      </c>
      <c r="E10" s="817" t="s">
        <v>63</v>
      </c>
      <c r="F10" s="817" t="s">
        <v>64</v>
      </c>
      <c r="G10" s="817" t="s">
        <v>62</v>
      </c>
      <c r="H10" s="817" t="s">
        <v>63</v>
      </c>
      <c r="I10" s="817" t="s">
        <v>62</v>
      </c>
      <c r="J10" s="817" t="s">
        <v>63</v>
      </c>
      <c r="K10" s="817" t="s">
        <v>64</v>
      </c>
      <c r="L10" s="1382" t="s">
        <v>65</v>
      </c>
      <c r="M10" s="1381" t="s">
        <v>62</v>
      </c>
      <c r="N10" s="1381" t="s">
        <v>63</v>
      </c>
      <c r="O10" s="1381" t="s">
        <v>64</v>
      </c>
      <c r="P10" s="817" t="s">
        <v>62</v>
      </c>
      <c r="Q10" s="817" t="s">
        <v>63</v>
      </c>
      <c r="R10" s="817" t="s">
        <v>62</v>
      </c>
      <c r="S10" s="817" t="s">
        <v>63</v>
      </c>
      <c r="T10" s="817" t="s">
        <v>64</v>
      </c>
    </row>
    <row r="11" spans="1:20" ht="11.45" customHeight="1" x14ac:dyDescent="0.2">
      <c r="A11" s="1328"/>
      <c r="B11" s="570">
        <v>1</v>
      </c>
      <c r="C11" s="1349" t="s">
        <v>24</v>
      </c>
      <c r="D11" s="126"/>
      <c r="E11" s="126"/>
      <c r="F11" s="126"/>
      <c r="G11" s="126"/>
      <c r="H11" s="126"/>
      <c r="I11" s="126"/>
      <c r="J11" s="126"/>
      <c r="K11" s="340"/>
      <c r="L11" s="1302" t="s">
        <v>25</v>
      </c>
      <c r="M11" s="1309"/>
      <c r="N11" s="1309"/>
      <c r="O11" s="1304"/>
      <c r="P11" s="210"/>
      <c r="Q11" s="210"/>
      <c r="R11" s="210"/>
      <c r="S11" s="210"/>
      <c r="T11" s="1328"/>
    </row>
    <row r="12" spans="1:20" x14ac:dyDescent="0.2">
      <c r="A12" s="1328"/>
      <c r="B12" s="570">
        <f t="shared" ref="B12:B54" si="0">B11+1</f>
        <v>2</v>
      </c>
      <c r="C12" s="123" t="s">
        <v>35</v>
      </c>
      <c r="D12" s="96"/>
      <c r="E12" s="96"/>
      <c r="F12" s="96">
        <f>SUM(D12:E12)</f>
        <v>0</v>
      </c>
      <c r="G12" s="96"/>
      <c r="H12" s="96"/>
      <c r="I12" s="96"/>
      <c r="J12" s="96"/>
      <c r="K12" s="341"/>
      <c r="L12" s="96" t="s">
        <v>215</v>
      </c>
      <c r="M12" s="204">
        <v>86936</v>
      </c>
      <c r="N12" s="204">
        <v>11050</v>
      </c>
      <c r="O12" s="1350">
        <f>SUM(M12:N12)</f>
        <v>97986</v>
      </c>
      <c r="P12" s="1304"/>
      <c r="Q12" s="1304">
        <v>-600</v>
      </c>
      <c r="R12" s="1304">
        <f>M12+P12</f>
        <v>86936</v>
      </c>
      <c r="S12" s="1304">
        <f>N12+Q12</f>
        <v>10450</v>
      </c>
      <c r="T12" s="1320">
        <f>R12+S12</f>
        <v>97386</v>
      </c>
    </row>
    <row r="13" spans="1:20" x14ac:dyDescent="0.2">
      <c r="A13" s="1328"/>
      <c r="B13" s="570">
        <f t="shared" si="0"/>
        <v>3</v>
      </c>
      <c r="C13" s="123" t="s">
        <v>36</v>
      </c>
      <c r="D13" s="96"/>
      <c r="E13" s="96"/>
      <c r="F13" s="96">
        <f>SUM(D13:E13)</f>
        <v>0</v>
      </c>
      <c r="G13" s="96"/>
      <c r="H13" s="96"/>
      <c r="I13" s="96"/>
      <c r="J13" s="96"/>
      <c r="K13" s="341"/>
      <c r="L13" s="1362" t="s">
        <v>216</v>
      </c>
      <c r="M13" s="204">
        <v>15178</v>
      </c>
      <c r="N13" s="204">
        <v>2721</v>
      </c>
      <c r="O13" s="1350">
        <f>SUM(M13:N13)</f>
        <v>17899</v>
      </c>
      <c r="P13" s="1304">
        <v>600</v>
      </c>
      <c r="Q13" s="1304"/>
      <c r="R13" s="1304">
        <f t="shared" ref="R13:R14" si="1">M13+P13</f>
        <v>15778</v>
      </c>
      <c r="S13" s="1304">
        <f t="shared" ref="S13:S14" si="2">N13+Q13</f>
        <v>2721</v>
      </c>
      <c r="T13" s="1320">
        <f t="shared" ref="T13:T14" si="3">R13+S13</f>
        <v>18499</v>
      </c>
    </row>
    <row r="14" spans="1:20" x14ac:dyDescent="0.2">
      <c r="A14" s="1328"/>
      <c r="B14" s="570">
        <f t="shared" si="0"/>
        <v>4</v>
      </c>
      <c r="C14" s="123" t="s">
        <v>37</v>
      </c>
      <c r="D14" s="96"/>
      <c r="E14" s="96"/>
      <c r="F14" s="96">
        <f>SUM(D14:E14)</f>
        <v>0</v>
      </c>
      <c r="G14" s="96"/>
      <c r="H14" s="96"/>
      <c r="I14" s="96"/>
      <c r="J14" s="96"/>
      <c r="K14" s="341"/>
      <c r="L14" s="96" t="s">
        <v>217</v>
      </c>
      <c r="M14" s="204">
        <v>14058</v>
      </c>
      <c r="N14" s="204"/>
      <c r="O14" s="1350">
        <f>SUM(M14:N14)</f>
        <v>14058</v>
      </c>
      <c r="P14" s="1304">
        <v>-185</v>
      </c>
      <c r="Q14" s="1304"/>
      <c r="R14" s="1304">
        <f t="shared" si="1"/>
        <v>13873</v>
      </c>
      <c r="S14" s="1304">
        <f t="shared" si="2"/>
        <v>0</v>
      </c>
      <c r="T14" s="1320">
        <f t="shared" si="3"/>
        <v>13873</v>
      </c>
    </row>
    <row r="15" spans="1:20" ht="12" customHeight="1" x14ac:dyDescent="0.2">
      <c r="A15" s="1328"/>
      <c r="B15" s="570">
        <f t="shared" si="0"/>
        <v>5</v>
      </c>
      <c r="C15" s="1369"/>
      <c r="D15" s="96"/>
      <c r="E15" s="96"/>
      <c r="F15" s="96"/>
      <c r="G15" s="96"/>
      <c r="H15" s="96"/>
      <c r="I15" s="96"/>
      <c r="J15" s="96"/>
      <c r="K15" s="341"/>
      <c r="L15" s="96"/>
      <c r="M15" s="204"/>
      <c r="N15" s="204"/>
      <c r="O15" s="204"/>
      <c r="P15" s="1304"/>
      <c r="Q15" s="1304"/>
      <c r="R15" s="1304"/>
      <c r="S15" s="1304"/>
      <c r="T15" s="1320"/>
    </row>
    <row r="16" spans="1:20" x14ac:dyDescent="0.2">
      <c r="A16" s="1328"/>
      <c r="B16" s="570">
        <f t="shared" si="0"/>
        <v>6</v>
      </c>
      <c r="C16" s="123" t="s">
        <v>38</v>
      </c>
      <c r="D16" s="96"/>
      <c r="E16" s="96"/>
      <c r="F16" s="96">
        <f>SUM(D16:E16)</f>
        <v>0</v>
      </c>
      <c r="G16" s="96"/>
      <c r="H16" s="96"/>
      <c r="I16" s="96"/>
      <c r="J16" s="96"/>
      <c r="K16" s="341"/>
      <c r="L16" s="96" t="s">
        <v>28</v>
      </c>
      <c r="M16" s="1304"/>
      <c r="N16" s="1304"/>
      <c r="O16" s="1304"/>
      <c r="P16" s="1304"/>
      <c r="Q16" s="1304"/>
      <c r="R16" s="1304"/>
      <c r="S16" s="1304"/>
      <c r="T16" s="1320"/>
    </row>
    <row r="17" spans="1:20" x14ac:dyDescent="0.2">
      <c r="A17" s="1328"/>
      <c r="B17" s="570">
        <f t="shared" si="0"/>
        <v>7</v>
      </c>
      <c r="C17" s="123"/>
      <c r="D17" s="96"/>
      <c r="E17" s="96"/>
      <c r="F17" s="96"/>
      <c r="G17" s="96"/>
      <c r="H17" s="96"/>
      <c r="I17" s="96"/>
      <c r="J17" s="96"/>
      <c r="K17" s="341"/>
      <c r="L17" s="96" t="s">
        <v>30</v>
      </c>
      <c r="M17" s="1304"/>
      <c r="N17" s="1304"/>
      <c r="O17" s="1304"/>
      <c r="P17" s="1304"/>
      <c r="Q17" s="1304"/>
      <c r="R17" s="1304"/>
      <c r="S17" s="1304"/>
      <c r="T17" s="1320"/>
    </row>
    <row r="18" spans="1:20" x14ac:dyDescent="0.2">
      <c r="A18" s="1328"/>
      <c r="B18" s="570">
        <f t="shared" si="0"/>
        <v>8</v>
      </c>
      <c r="C18" s="123" t="s">
        <v>39</v>
      </c>
      <c r="D18" s="96"/>
      <c r="E18" s="96"/>
      <c r="F18" s="96">
        <f>SUM(D18:E18)</f>
        <v>0</v>
      </c>
      <c r="G18" s="96"/>
      <c r="H18" s="96"/>
      <c r="I18" s="96"/>
      <c r="J18" s="96"/>
      <c r="K18" s="341"/>
      <c r="L18" s="96" t="s">
        <v>446</v>
      </c>
      <c r="M18" s="1304"/>
      <c r="N18" s="1304"/>
      <c r="O18" s="1304"/>
      <c r="P18" s="1304"/>
      <c r="Q18" s="1304"/>
      <c r="R18" s="1304"/>
      <c r="S18" s="1304"/>
      <c r="T18" s="1320"/>
    </row>
    <row r="19" spans="1:20" x14ac:dyDescent="0.2">
      <c r="A19" s="1328"/>
      <c r="B19" s="570">
        <f t="shared" si="0"/>
        <v>9</v>
      </c>
      <c r="C19" s="125" t="s">
        <v>40</v>
      </c>
      <c r="D19" s="1368"/>
      <c r="E19" s="1368"/>
      <c r="F19" s="1368"/>
      <c r="G19" s="1368"/>
      <c r="H19" s="1368"/>
      <c r="I19" s="1368"/>
      <c r="J19" s="1368"/>
      <c r="K19" s="1376"/>
      <c r="L19" s="96" t="s">
        <v>445</v>
      </c>
      <c r="M19" s="1304"/>
      <c r="N19" s="1304"/>
      <c r="O19" s="1304"/>
      <c r="P19" s="1304"/>
      <c r="Q19" s="1304"/>
      <c r="R19" s="1304"/>
      <c r="S19" s="1304"/>
      <c r="T19" s="1320"/>
    </row>
    <row r="20" spans="1:20" x14ac:dyDescent="0.2">
      <c r="A20" s="1328"/>
      <c r="B20" s="570">
        <f t="shared" si="0"/>
        <v>10</v>
      </c>
      <c r="C20" s="123" t="s">
        <v>41</v>
      </c>
      <c r="D20" s="1368">
        <v>0</v>
      </c>
      <c r="E20" s="1368"/>
      <c r="F20" s="1368">
        <f>SUM(D20:E20)</f>
        <v>0</v>
      </c>
      <c r="G20" s="1368"/>
      <c r="H20" s="1368"/>
      <c r="I20" s="1368"/>
      <c r="J20" s="1368"/>
      <c r="K20" s="1376"/>
      <c r="L20" s="124" t="s">
        <v>928</v>
      </c>
      <c r="M20" s="1304"/>
      <c r="N20" s="1304"/>
      <c r="O20" s="1304"/>
      <c r="P20" s="1304"/>
      <c r="Q20" s="1304"/>
      <c r="R20" s="1304"/>
      <c r="S20" s="1304"/>
      <c r="T20" s="1320"/>
    </row>
    <row r="21" spans="1:20" x14ac:dyDescent="0.2">
      <c r="A21" s="1328"/>
      <c r="B21" s="570">
        <f t="shared" si="0"/>
        <v>11</v>
      </c>
      <c r="C21" s="1303"/>
      <c r="D21" s="1368"/>
      <c r="E21" s="1368"/>
      <c r="F21" s="1368"/>
      <c r="G21" s="1368"/>
      <c r="H21" s="1368"/>
      <c r="I21" s="1368"/>
      <c r="J21" s="1368"/>
      <c r="K21" s="1376"/>
      <c r="L21" s="96" t="s">
        <v>929</v>
      </c>
      <c r="M21" s="1304"/>
      <c r="N21" s="1304"/>
      <c r="O21" s="1304"/>
      <c r="P21" s="1304"/>
      <c r="Q21" s="1304"/>
      <c r="R21" s="1304"/>
      <c r="S21" s="1304"/>
      <c r="T21" s="1320"/>
    </row>
    <row r="22" spans="1:20" s="101" customFormat="1" x14ac:dyDescent="0.2">
      <c r="A22" s="1329"/>
      <c r="B22" s="570">
        <f t="shared" si="0"/>
        <v>12</v>
      </c>
      <c r="C22" s="1303" t="s">
        <v>42</v>
      </c>
      <c r="D22" s="1368"/>
      <c r="E22" s="1368"/>
      <c r="F22" s="1368"/>
      <c r="G22" s="1368"/>
      <c r="H22" s="1368"/>
      <c r="I22" s="1368"/>
      <c r="J22" s="1368"/>
      <c r="K22" s="1376"/>
      <c r="L22" s="96" t="s">
        <v>930</v>
      </c>
      <c r="M22" s="1304"/>
      <c r="N22" s="1304"/>
      <c r="O22" s="1304"/>
      <c r="P22" s="1371"/>
      <c r="Q22" s="1371"/>
      <c r="R22" s="1371"/>
      <c r="S22" s="1371"/>
      <c r="T22" s="1395"/>
    </row>
    <row r="23" spans="1:20" s="101" customFormat="1" x14ac:dyDescent="0.2">
      <c r="A23" s="1329"/>
      <c r="B23" s="570">
        <f t="shared" si="0"/>
        <v>13</v>
      </c>
      <c r="C23" s="1303" t="s">
        <v>43</v>
      </c>
      <c r="D23" s="1368"/>
      <c r="E23" s="1368"/>
      <c r="F23" s="1368"/>
      <c r="G23" s="1368"/>
      <c r="H23" s="1368"/>
      <c r="I23" s="1368"/>
      <c r="J23" s="1368"/>
      <c r="K23" s="1376"/>
      <c r="L23" s="124"/>
      <c r="M23" s="1304"/>
      <c r="N23" s="1304"/>
      <c r="O23" s="1304"/>
      <c r="P23" s="1371"/>
      <c r="Q23" s="1371"/>
      <c r="R23" s="1371"/>
      <c r="S23" s="1371"/>
      <c r="T23" s="1395"/>
    </row>
    <row r="24" spans="1:20" x14ac:dyDescent="0.2">
      <c r="A24" s="1328"/>
      <c r="B24" s="570">
        <f t="shared" si="0"/>
        <v>14</v>
      </c>
      <c r="C24" s="123" t="s">
        <v>44</v>
      </c>
      <c r="D24" s="1370"/>
      <c r="E24" s="1370"/>
      <c r="F24" s="1370"/>
      <c r="G24" s="1370"/>
      <c r="H24" s="1370"/>
      <c r="I24" s="1370"/>
      <c r="J24" s="1370"/>
      <c r="K24" s="1377"/>
      <c r="L24" s="1354" t="s">
        <v>66</v>
      </c>
      <c r="M24" s="1308">
        <f>SUM(M12:M22)</f>
        <v>116172</v>
      </c>
      <c r="N24" s="1308">
        <f>SUM(N12:N22)</f>
        <v>13771</v>
      </c>
      <c r="O24" s="1308">
        <f>SUM(O12:O22)</f>
        <v>129943</v>
      </c>
      <c r="P24" s="1308">
        <f>P12+P13+P14</f>
        <v>415</v>
      </c>
      <c r="Q24" s="1308">
        <f t="shared" ref="Q24:T24" si="4">Q12+Q13+Q14</f>
        <v>-600</v>
      </c>
      <c r="R24" s="1308">
        <f t="shared" si="4"/>
        <v>116587</v>
      </c>
      <c r="S24" s="1308">
        <f t="shared" si="4"/>
        <v>13171</v>
      </c>
      <c r="T24" s="1323">
        <f t="shared" si="4"/>
        <v>129758</v>
      </c>
    </row>
    <row r="25" spans="1:20" x14ac:dyDescent="0.2">
      <c r="A25" s="1328"/>
      <c r="B25" s="570">
        <f t="shared" si="0"/>
        <v>15</v>
      </c>
      <c r="C25" s="123" t="s">
        <v>45</v>
      </c>
      <c r="D25" s="1368"/>
      <c r="E25" s="1368"/>
      <c r="F25" s="1368"/>
      <c r="G25" s="1368"/>
      <c r="H25" s="1368"/>
      <c r="I25" s="1368"/>
      <c r="J25" s="1368"/>
      <c r="K25" s="1376"/>
      <c r="L25" s="124"/>
      <c r="M25" s="1304"/>
      <c r="N25" s="1304"/>
      <c r="O25" s="1304"/>
      <c r="P25" s="1304"/>
      <c r="Q25" s="1304"/>
      <c r="R25" s="1304"/>
      <c r="S25" s="1304"/>
      <c r="T25" s="1320"/>
    </row>
    <row r="26" spans="1:20" x14ac:dyDescent="0.2">
      <c r="A26" s="1328"/>
      <c r="B26" s="570">
        <f t="shared" si="0"/>
        <v>16</v>
      </c>
      <c r="C26" s="123" t="s">
        <v>46</v>
      </c>
      <c r="D26" s="1302"/>
      <c r="E26" s="1302"/>
      <c r="F26" s="1302"/>
      <c r="G26" s="1302"/>
      <c r="H26" s="1302"/>
      <c r="I26" s="1302"/>
      <c r="J26" s="1302"/>
      <c r="K26" s="375"/>
      <c r="L26" s="1302" t="s">
        <v>34</v>
      </c>
      <c r="M26" s="1309"/>
      <c r="N26" s="1309"/>
      <c r="O26" s="1304"/>
      <c r="P26" s="1304"/>
      <c r="Q26" s="1304"/>
      <c r="R26" s="1304"/>
      <c r="S26" s="1304"/>
      <c r="T26" s="1320"/>
    </row>
    <row r="27" spans="1:20" x14ac:dyDescent="0.2">
      <c r="A27" s="1328"/>
      <c r="B27" s="570">
        <f t="shared" si="0"/>
        <v>17</v>
      </c>
      <c r="C27" s="123" t="s">
        <v>47</v>
      </c>
      <c r="D27" s="96"/>
      <c r="E27" s="96"/>
      <c r="F27" s="96"/>
      <c r="G27" s="96"/>
      <c r="H27" s="96"/>
      <c r="I27" s="96"/>
      <c r="J27" s="96"/>
      <c r="K27" s="341"/>
      <c r="L27" s="96" t="s">
        <v>226</v>
      </c>
      <c r="M27" s="1304">
        <f>'felhalm. kiad.  '!N144</f>
        <v>2000</v>
      </c>
      <c r="N27" s="1304">
        <f>'felhalm. kiad.  '!Q144</f>
        <v>0</v>
      </c>
      <c r="O27" s="1304">
        <f>SUM(M27:N27)</f>
        <v>2000</v>
      </c>
      <c r="P27" s="1304">
        <v>185</v>
      </c>
      <c r="Q27" s="1304">
        <v>0</v>
      </c>
      <c r="R27" s="1304">
        <f>M27+P27</f>
        <v>2185</v>
      </c>
      <c r="S27" s="1304">
        <f>N27+Q27</f>
        <v>0</v>
      </c>
      <c r="T27" s="1320">
        <f>R27+S27</f>
        <v>2185</v>
      </c>
    </row>
    <row r="28" spans="1:20" x14ac:dyDescent="0.2">
      <c r="A28" s="1328"/>
      <c r="B28" s="570">
        <f t="shared" si="0"/>
        <v>18</v>
      </c>
      <c r="C28" s="123"/>
      <c r="D28" s="96"/>
      <c r="E28" s="96"/>
      <c r="F28" s="96"/>
      <c r="G28" s="96"/>
      <c r="H28" s="96"/>
      <c r="I28" s="96"/>
      <c r="J28" s="96"/>
      <c r="K28" s="341"/>
      <c r="L28" s="96" t="s">
        <v>31</v>
      </c>
      <c r="M28" s="1304"/>
      <c r="N28" s="1304"/>
      <c r="O28" s="1304"/>
      <c r="P28" s="1304"/>
      <c r="Q28" s="1304"/>
      <c r="R28" s="1304"/>
      <c r="S28" s="1304"/>
      <c r="T28" s="1320"/>
    </row>
    <row r="29" spans="1:20" x14ac:dyDescent="0.2">
      <c r="A29" s="1328"/>
      <c r="B29" s="570">
        <f t="shared" si="0"/>
        <v>19</v>
      </c>
      <c r="C29" s="1303" t="s">
        <v>50</v>
      </c>
      <c r="D29" s="96"/>
      <c r="E29" s="96"/>
      <c r="F29" s="96"/>
      <c r="G29" s="96"/>
      <c r="H29" s="96"/>
      <c r="I29" s="96"/>
      <c r="J29" s="96"/>
      <c r="K29" s="341"/>
      <c r="L29" s="96" t="s">
        <v>32</v>
      </c>
      <c r="M29" s="1304"/>
      <c r="N29" s="1304"/>
      <c r="O29" s="1304"/>
      <c r="P29" s="1304"/>
      <c r="Q29" s="1304"/>
      <c r="R29" s="1304"/>
      <c r="S29" s="1304"/>
      <c r="T29" s="1320"/>
    </row>
    <row r="30" spans="1:20" s="101" customFormat="1" x14ac:dyDescent="0.2">
      <c r="A30" s="1329"/>
      <c r="B30" s="570">
        <f t="shared" si="0"/>
        <v>20</v>
      </c>
      <c r="C30" s="1303" t="s">
        <v>48</v>
      </c>
      <c r="D30" s="96"/>
      <c r="E30" s="96"/>
      <c r="F30" s="96"/>
      <c r="G30" s="96"/>
      <c r="H30" s="96"/>
      <c r="I30" s="96"/>
      <c r="J30" s="96"/>
      <c r="K30" s="341"/>
      <c r="L30" s="96" t="s">
        <v>447</v>
      </c>
      <c r="M30" s="1304"/>
      <c r="N30" s="1304"/>
      <c r="O30" s="1304"/>
      <c r="P30" s="1371"/>
      <c r="Q30" s="1371"/>
      <c r="R30" s="1371"/>
      <c r="S30" s="1371"/>
      <c r="T30" s="1395"/>
    </row>
    <row r="31" spans="1:20" x14ac:dyDescent="0.2">
      <c r="A31" s="1328"/>
      <c r="B31" s="570">
        <f t="shared" si="0"/>
        <v>21</v>
      </c>
      <c r="C31" s="1303"/>
      <c r="D31" s="96"/>
      <c r="E31" s="96"/>
      <c r="F31" s="96"/>
      <c r="G31" s="96"/>
      <c r="H31" s="96"/>
      <c r="I31" s="96"/>
      <c r="J31" s="96"/>
      <c r="K31" s="341"/>
      <c r="L31" s="96" t="s">
        <v>444</v>
      </c>
      <c r="M31" s="1304"/>
      <c r="N31" s="1304"/>
      <c r="O31" s="1304"/>
      <c r="P31" s="1304"/>
      <c r="Q31" s="1304"/>
      <c r="R31" s="1304"/>
      <c r="S31" s="1304"/>
      <c r="T31" s="1320"/>
    </row>
    <row r="32" spans="1:20" s="11" customFormat="1" x14ac:dyDescent="0.2">
      <c r="A32" s="1330"/>
      <c r="B32" s="570">
        <f t="shared" si="0"/>
        <v>22</v>
      </c>
      <c r="C32" s="1355" t="s">
        <v>52</v>
      </c>
      <c r="D32" s="1368">
        <f>D14+D20</f>
        <v>0</v>
      </c>
      <c r="E32" s="1368">
        <f>E14+E20</f>
        <v>0</v>
      </c>
      <c r="F32" s="1368">
        <f>F14+F20</f>
        <v>0</v>
      </c>
      <c r="G32" s="1368"/>
      <c r="H32" s="1368"/>
      <c r="I32" s="1368"/>
      <c r="J32" s="1368"/>
      <c r="K32" s="1376"/>
      <c r="L32" s="96" t="s">
        <v>440</v>
      </c>
      <c r="M32" s="1304"/>
      <c r="N32" s="1304"/>
      <c r="O32" s="1304"/>
      <c r="P32" s="1309"/>
      <c r="Q32" s="1309"/>
      <c r="R32" s="1309"/>
      <c r="S32" s="1309"/>
      <c r="T32" s="1324"/>
    </row>
    <row r="33" spans="1:20" x14ac:dyDescent="0.2">
      <c r="A33" s="1328"/>
      <c r="B33" s="570">
        <f t="shared" si="0"/>
        <v>23</v>
      </c>
      <c r="C33" s="1356" t="s">
        <v>67</v>
      </c>
      <c r="D33" s="1372"/>
      <c r="E33" s="1372"/>
      <c r="F33" s="1372"/>
      <c r="G33" s="1372"/>
      <c r="H33" s="1372"/>
      <c r="I33" s="1372"/>
      <c r="J33" s="1372"/>
      <c r="K33" s="1383"/>
      <c r="L33" s="1370" t="s">
        <v>68</v>
      </c>
      <c r="M33" s="1308">
        <f>SUM(M27:M32)</f>
        <v>2000</v>
      </c>
      <c r="N33" s="1308">
        <f>SUM(N27:N32)</f>
        <v>0</v>
      </c>
      <c r="O33" s="1308">
        <f>SUM(O27:O31)</f>
        <v>2000</v>
      </c>
      <c r="P33" s="1308">
        <f>SUM(P27:P32)</f>
        <v>185</v>
      </c>
      <c r="Q33" s="1308">
        <f>SUM(Q27:Q32)</f>
        <v>0</v>
      </c>
      <c r="R33" s="1308">
        <f>SUM(R27:R32)</f>
        <v>2185</v>
      </c>
      <c r="S33" s="1308">
        <f t="shared" ref="S33:T33" si="5">SUM(S27:S32)</f>
        <v>0</v>
      </c>
      <c r="T33" s="1323">
        <f t="shared" si="5"/>
        <v>2185</v>
      </c>
    </row>
    <row r="34" spans="1:20" x14ac:dyDescent="0.2">
      <c r="A34" s="1328"/>
      <c r="B34" s="570">
        <f t="shared" si="0"/>
        <v>24</v>
      </c>
      <c r="C34" s="128" t="s">
        <v>51</v>
      </c>
      <c r="D34" s="126">
        <f>SUM(D32:D33)</f>
        <v>0</v>
      </c>
      <c r="E34" s="126">
        <f>SUM(E32:E33)</f>
        <v>0</v>
      </c>
      <c r="F34" s="126">
        <f>SUM(D34:E34)</f>
        <v>0</v>
      </c>
      <c r="G34" s="126"/>
      <c r="H34" s="126"/>
      <c r="I34" s="126"/>
      <c r="J34" s="126"/>
      <c r="K34" s="340"/>
      <c r="L34" s="126" t="s">
        <v>69</v>
      </c>
      <c r="M34" s="1309">
        <f>M24+M33</f>
        <v>118172</v>
      </c>
      <c r="N34" s="1309">
        <f>N24+N33</f>
        <v>13771</v>
      </c>
      <c r="O34" s="1309">
        <f>O24+O33</f>
        <v>131943</v>
      </c>
      <c r="P34" s="1309">
        <f>P24+P33</f>
        <v>600</v>
      </c>
      <c r="Q34" s="1309">
        <f t="shared" ref="Q34:T34" si="6">Q24+Q33</f>
        <v>-600</v>
      </c>
      <c r="R34" s="1309">
        <f t="shared" si="6"/>
        <v>118772</v>
      </c>
      <c r="S34" s="1309">
        <f t="shared" si="6"/>
        <v>13171</v>
      </c>
      <c r="T34" s="1324">
        <f t="shared" si="6"/>
        <v>131943</v>
      </c>
    </row>
    <row r="35" spans="1:20" x14ac:dyDescent="0.2">
      <c r="A35" s="1328"/>
      <c r="B35" s="570">
        <f t="shared" si="0"/>
        <v>25</v>
      </c>
      <c r="C35" s="1303"/>
      <c r="D35" s="124"/>
      <c r="E35" s="124"/>
      <c r="F35" s="124"/>
      <c r="G35" s="124"/>
      <c r="H35" s="124"/>
      <c r="I35" s="124"/>
      <c r="J35" s="124"/>
      <c r="K35" s="1374"/>
      <c r="L35" s="124"/>
      <c r="M35" s="1304"/>
      <c r="N35" s="1304"/>
      <c r="O35" s="1304"/>
      <c r="P35" s="1304"/>
      <c r="Q35" s="1304"/>
      <c r="R35" s="1304"/>
      <c r="S35" s="1304"/>
      <c r="T35" s="1320"/>
    </row>
    <row r="36" spans="1:20" x14ac:dyDescent="0.2">
      <c r="A36" s="1328"/>
      <c r="B36" s="570">
        <f t="shared" si="0"/>
        <v>26</v>
      </c>
      <c r="C36" s="1303"/>
      <c r="D36" s="124"/>
      <c r="E36" s="124"/>
      <c r="F36" s="124"/>
      <c r="G36" s="124"/>
      <c r="H36" s="124"/>
      <c r="I36" s="124"/>
      <c r="J36" s="124"/>
      <c r="K36" s="1374"/>
      <c r="L36" s="1354"/>
      <c r="M36" s="1308"/>
      <c r="N36" s="1308"/>
      <c r="O36" s="1308"/>
      <c r="P36" s="1304"/>
      <c r="Q36" s="1304"/>
      <c r="R36" s="1304"/>
      <c r="S36" s="1304"/>
      <c r="T36" s="1320"/>
    </row>
    <row r="37" spans="1:20" s="11" customFormat="1" x14ac:dyDescent="0.2">
      <c r="A37" s="1330"/>
      <c r="B37" s="570">
        <f t="shared" si="0"/>
        <v>27</v>
      </c>
      <c r="C37" s="1303"/>
      <c r="D37" s="124"/>
      <c r="E37" s="124"/>
      <c r="F37" s="124"/>
      <c r="G37" s="124"/>
      <c r="H37" s="124"/>
      <c r="I37" s="124"/>
      <c r="J37" s="124"/>
      <c r="K37" s="1374"/>
      <c r="L37" s="124"/>
      <c r="M37" s="1304"/>
      <c r="N37" s="1304"/>
      <c r="O37" s="1304"/>
      <c r="P37" s="1309"/>
      <c r="Q37" s="1309"/>
      <c r="R37" s="1309"/>
      <c r="S37" s="1309"/>
      <c r="T37" s="1324"/>
    </row>
    <row r="38" spans="1:20" s="11" customFormat="1" x14ac:dyDescent="0.2">
      <c r="A38" s="1330"/>
      <c r="B38" s="570">
        <f t="shared" si="0"/>
        <v>28</v>
      </c>
      <c r="C38" s="1302" t="s">
        <v>53</v>
      </c>
      <c r="D38" s="1302"/>
      <c r="E38" s="1302"/>
      <c r="F38" s="1302"/>
      <c r="G38" s="1302"/>
      <c r="H38" s="1302"/>
      <c r="I38" s="1302"/>
      <c r="J38" s="1302"/>
      <c r="K38" s="375"/>
      <c r="L38" s="1302" t="s">
        <v>33</v>
      </c>
      <c r="M38" s="1309"/>
      <c r="N38" s="1309"/>
      <c r="O38" s="1309"/>
      <c r="P38" s="1309"/>
      <c r="Q38" s="1309"/>
      <c r="R38" s="1309"/>
      <c r="S38" s="1309"/>
      <c r="T38" s="1324"/>
    </row>
    <row r="39" spans="1:20" s="11" customFormat="1" x14ac:dyDescent="0.2">
      <c r="A39" s="1330"/>
      <c r="B39" s="570">
        <f t="shared" si="0"/>
        <v>29</v>
      </c>
      <c r="C39" s="1357" t="s">
        <v>682</v>
      </c>
      <c r="D39" s="1302"/>
      <c r="E39" s="1302"/>
      <c r="F39" s="1302"/>
      <c r="G39" s="1302"/>
      <c r="H39" s="1302"/>
      <c r="I39" s="1302"/>
      <c r="J39" s="1302"/>
      <c r="K39" s="375"/>
      <c r="L39" s="1357" t="s">
        <v>4</v>
      </c>
      <c r="M39" s="1309"/>
      <c r="N39" s="598"/>
      <c r="O39" s="598"/>
      <c r="P39" s="1309"/>
      <c r="Q39" s="1309"/>
      <c r="R39" s="1309"/>
      <c r="S39" s="1309"/>
      <c r="T39" s="1324"/>
    </row>
    <row r="40" spans="1:20" s="11" customFormat="1" x14ac:dyDescent="0.2">
      <c r="A40" s="1330"/>
      <c r="B40" s="570">
        <f t="shared" si="0"/>
        <v>30</v>
      </c>
      <c r="C40" s="123" t="s">
        <v>961</v>
      </c>
      <c r="D40" s="1302"/>
      <c r="E40" s="1302"/>
      <c r="F40" s="1302"/>
      <c r="G40" s="1302"/>
      <c r="H40" s="1302"/>
      <c r="I40" s="1302"/>
      <c r="J40" s="1302"/>
      <c r="K40" s="375"/>
      <c r="L40" s="123" t="s">
        <v>3</v>
      </c>
      <c r="M40" s="1309"/>
      <c r="N40" s="1309"/>
      <c r="O40" s="1309"/>
      <c r="P40" s="1309"/>
      <c r="Q40" s="1309"/>
      <c r="R40" s="1309"/>
      <c r="S40" s="1309"/>
      <c r="T40" s="1324"/>
    </row>
    <row r="41" spans="1:20" x14ac:dyDescent="0.2">
      <c r="A41" s="1328"/>
      <c r="B41" s="570">
        <f t="shared" si="0"/>
        <v>31</v>
      </c>
      <c r="C41" s="96" t="s">
        <v>684</v>
      </c>
      <c r="D41" s="1373"/>
      <c r="E41" s="1373"/>
      <c r="F41" s="1373"/>
      <c r="G41" s="1373"/>
      <c r="H41" s="1373"/>
      <c r="I41" s="1373"/>
      <c r="J41" s="1373"/>
      <c r="K41" s="1375"/>
      <c r="L41" s="96" t="s">
        <v>5</v>
      </c>
      <c r="M41" s="1309"/>
      <c r="N41" s="1309"/>
      <c r="O41" s="1309"/>
      <c r="P41" s="1304"/>
      <c r="Q41" s="1304"/>
      <c r="R41" s="1304"/>
      <c r="S41" s="1304"/>
      <c r="T41" s="1320"/>
    </row>
    <row r="42" spans="1:20" x14ac:dyDescent="0.2">
      <c r="A42" s="1328"/>
      <c r="B42" s="570">
        <f t="shared" si="0"/>
        <v>32</v>
      </c>
      <c r="C42" s="96" t="s">
        <v>207</v>
      </c>
      <c r="D42" s="96"/>
      <c r="E42" s="96"/>
      <c r="F42" s="96"/>
      <c r="G42" s="96"/>
      <c r="H42" s="96"/>
      <c r="I42" s="96"/>
      <c r="J42" s="96"/>
      <c r="K42" s="341"/>
      <c r="L42" s="96" t="s">
        <v>6</v>
      </c>
      <c r="M42" s="1309"/>
      <c r="N42" s="1309"/>
      <c r="O42" s="1309"/>
      <c r="P42" s="1304"/>
      <c r="Q42" s="1304"/>
      <c r="R42" s="1304"/>
      <c r="S42" s="1304"/>
      <c r="T42" s="1320"/>
    </row>
    <row r="43" spans="1:20" x14ac:dyDescent="0.2">
      <c r="A43" s="1328"/>
      <c r="B43" s="570">
        <f t="shared" si="0"/>
        <v>33</v>
      </c>
      <c r="C43" s="1362" t="s">
        <v>208</v>
      </c>
      <c r="D43" s="96">
        <v>43</v>
      </c>
      <c r="E43" s="96"/>
      <c r="F43" s="96">
        <f>D43+E43</f>
        <v>43</v>
      </c>
      <c r="G43" s="96"/>
      <c r="H43" s="96"/>
      <c r="I43" s="96">
        <f>D43+G43</f>
        <v>43</v>
      </c>
      <c r="J43" s="96">
        <f>E43+H43</f>
        <v>0</v>
      </c>
      <c r="K43" s="341">
        <f>I43+J43</f>
        <v>43</v>
      </c>
      <c r="L43" s="96" t="s">
        <v>7</v>
      </c>
      <c r="M43" s="1309"/>
      <c r="N43" s="1309"/>
      <c r="O43" s="1309"/>
      <c r="P43" s="1304"/>
      <c r="Q43" s="1304"/>
      <c r="R43" s="1304"/>
      <c r="S43" s="1304"/>
      <c r="T43" s="1320"/>
    </row>
    <row r="44" spans="1:20" x14ac:dyDescent="0.2">
      <c r="A44" s="1328"/>
      <c r="B44" s="570">
        <f t="shared" si="0"/>
        <v>34</v>
      </c>
      <c r="C44" s="1362" t="s">
        <v>958</v>
      </c>
      <c r="D44" s="96"/>
      <c r="E44" s="96"/>
      <c r="F44" s="96"/>
      <c r="G44" s="96"/>
      <c r="H44" s="96"/>
      <c r="I44" s="96"/>
      <c r="J44" s="96"/>
      <c r="K44" s="341"/>
      <c r="L44" s="96"/>
      <c r="M44" s="1309"/>
      <c r="N44" s="1309"/>
      <c r="O44" s="1309"/>
      <c r="P44" s="1304"/>
      <c r="Q44" s="1304"/>
      <c r="R44" s="1304"/>
      <c r="S44" s="1304"/>
      <c r="T44" s="1320"/>
    </row>
    <row r="45" spans="1:20" x14ac:dyDescent="0.2">
      <c r="A45" s="1328"/>
      <c r="B45" s="570">
        <f t="shared" si="0"/>
        <v>35</v>
      </c>
      <c r="C45" s="96" t="s">
        <v>685</v>
      </c>
      <c r="D45" s="96"/>
      <c r="E45" s="96"/>
      <c r="F45" s="96"/>
      <c r="G45" s="96"/>
      <c r="H45" s="96"/>
      <c r="I45" s="96"/>
      <c r="J45" s="96"/>
      <c r="K45" s="341"/>
      <c r="L45" s="96" t="s">
        <v>8</v>
      </c>
      <c r="M45" s="1309"/>
      <c r="N45" s="1309"/>
      <c r="O45" s="1304"/>
      <c r="P45" s="1304"/>
      <c r="Q45" s="1304"/>
      <c r="R45" s="1304"/>
      <c r="S45" s="1304"/>
      <c r="T45" s="1320"/>
    </row>
    <row r="46" spans="1:20" x14ac:dyDescent="0.2">
      <c r="A46" s="1328"/>
      <c r="B46" s="570">
        <f t="shared" si="0"/>
        <v>36</v>
      </c>
      <c r="C46" s="96" t="s">
        <v>686</v>
      </c>
      <c r="D46" s="1302"/>
      <c r="E46" s="1302"/>
      <c r="F46" s="1302"/>
      <c r="G46" s="1302"/>
      <c r="H46" s="1302"/>
      <c r="I46" s="1302"/>
      <c r="J46" s="1302"/>
      <c r="K46" s="375"/>
      <c r="L46" s="96" t="s">
        <v>9</v>
      </c>
      <c r="M46" s="1309"/>
      <c r="N46" s="1309"/>
      <c r="O46" s="1304"/>
      <c r="P46" s="1304"/>
      <c r="Q46" s="1304"/>
      <c r="R46" s="1304"/>
      <c r="S46" s="1304"/>
      <c r="T46" s="1320"/>
    </row>
    <row r="47" spans="1:20" x14ac:dyDescent="0.2">
      <c r="A47" s="1328"/>
      <c r="B47" s="570">
        <f t="shared" si="0"/>
        <v>37</v>
      </c>
      <c r="C47" s="96" t="s">
        <v>211</v>
      </c>
      <c r="D47" s="96"/>
      <c r="E47" s="96"/>
      <c r="F47" s="96"/>
      <c r="G47" s="96"/>
      <c r="H47" s="96"/>
      <c r="I47" s="96"/>
      <c r="J47" s="96"/>
      <c r="K47" s="341"/>
      <c r="L47" s="96" t="s">
        <v>10</v>
      </c>
      <c r="M47" s="1304"/>
      <c r="N47" s="1304"/>
      <c r="O47" s="1304"/>
      <c r="P47" s="1304"/>
      <c r="Q47" s="1304"/>
      <c r="R47" s="1304"/>
      <c r="S47" s="1304"/>
      <c r="T47" s="1320"/>
    </row>
    <row r="48" spans="1:20" x14ac:dyDescent="0.2">
      <c r="A48" s="1328"/>
      <c r="B48" s="570">
        <f t="shared" si="0"/>
        <v>38</v>
      </c>
      <c r="C48" s="1362" t="s">
        <v>212</v>
      </c>
      <c r="D48" s="96">
        <f>M24-(D34+D43)</f>
        <v>116129</v>
      </c>
      <c r="E48" s="96">
        <f>N24-(E34+E43)</f>
        <v>13771</v>
      </c>
      <c r="F48" s="96">
        <f>O24-(F34+F43)</f>
        <v>129900</v>
      </c>
      <c r="G48" s="96">
        <f t="shared" ref="G48:K48" si="7">P24-(G34+G43)</f>
        <v>415</v>
      </c>
      <c r="H48" s="96">
        <f t="shared" si="7"/>
        <v>-600</v>
      </c>
      <c r="I48" s="96">
        <f t="shared" si="7"/>
        <v>116544</v>
      </c>
      <c r="J48" s="96">
        <f t="shared" si="7"/>
        <v>13171</v>
      </c>
      <c r="K48" s="341">
        <f t="shared" si="7"/>
        <v>129715</v>
      </c>
      <c r="L48" s="96" t="s">
        <v>11</v>
      </c>
      <c r="M48" s="1304"/>
      <c r="N48" s="1304"/>
      <c r="O48" s="1304"/>
      <c r="P48" s="1304"/>
      <c r="Q48" s="1304"/>
      <c r="R48" s="1304"/>
      <c r="S48" s="1304"/>
      <c r="T48" s="1320"/>
    </row>
    <row r="49" spans="1:20" x14ac:dyDescent="0.2">
      <c r="A49" s="1328"/>
      <c r="B49" s="570">
        <f t="shared" si="0"/>
        <v>39</v>
      </c>
      <c r="C49" s="1362" t="s">
        <v>213</v>
      </c>
      <c r="D49" s="96">
        <f>M33-D33</f>
        <v>2000</v>
      </c>
      <c r="E49" s="96"/>
      <c r="F49" s="96">
        <f>O33-F33</f>
        <v>2000</v>
      </c>
      <c r="G49" s="96">
        <f t="shared" ref="G49:K49" si="8">P33-G33</f>
        <v>185</v>
      </c>
      <c r="H49" s="96">
        <f t="shared" si="8"/>
        <v>0</v>
      </c>
      <c r="I49" s="96">
        <f t="shared" si="8"/>
        <v>2185</v>
      </c>
      <c r="J49" s="96">
        <f t="shared" si="8"/>
        <v>0</v>
      </c>
      <c r="K49" s="341">
        <f t="shared" si="8"/>
        <v>2185</v>
      </c>
      <c r="L49" s="96" t="s">
        <v>12</v>
      </c>
      <c r="M49" s="1304"/>
      <c r="N49" s="1304"/>
      <c r="O49" s="1304"/>
      <c r="P49" s="1304"/>
      <c r="Q49" s="1304"/>
      <c r="R49" s="1304"/>
      <c r="S49" s="1304"/>
      <c r="T49" s="1320"/>
    </row>
    <row r="50" spans="1:20" x14ac:dyDescent="0.2">
      <c r="A50" s="1328"/>
      <c r="B50" s="570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41"/>
      <c r="L50" s="96" t="s">
        <v>13</v>
      </c>
      <c r="M50" s="1304"/>
      <c r="N50" s="1304"/>
      <c r="O50" s="1304"/>
      <c r="P50" s="1304"/>
      <c r="Q50" s="1304"/>
      <c r="R50" s="1304"/>
      <c r="S50" s="1304"/>
      <c r="T50" s="1320"/>
    </row>
    <row r="51" spans="1:20" x14ac:dyDescent="0.2">
      <c r="A51" s="1328"/>
      <c r="B51" s="570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41"/>
      <c r="L51" s="96" t="s">
        <v>14</v>
      </c>
      <c r="M51" s="1304"/>
      <c r="N51" s="1304"/>
      <c r="O51" s="1304"/>
      <c r="P51" s="1304"/>
      <c r="Q51" s="1304"/>
      <c r="R51" s="1304"/>
      <c r="S51" s="1304"/>
      <c r="T51" s="1320"/>
    </row>
    <row r="52" spans="1:20" x14ac:dyDescent="0.2">
      <c r="A52" s="1328"/>
      <c r="B52" s="570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41"/>
      <c r="L52" s="96" t="s">
        <v>15</v>
      </c>
      <c r="M52" s="1304"/>
      <c r="N52" s="1304"/>
      <c r="O52" s="1304"/>
      <c r="P52" s="1304"/>
      <c r="Q52" s="1304"/>
      <c r="R52" s="1304"/>
      <c r="S52" s="1304"/>
      <c r="T52" s="1320"/>
    </row>
    <row r="53" spans="1:20" ht="12" thickBot="1" x14ac:dyDescent="0.25">
      <c r="A53" s="1328"/>
      <c r="B53" s="570">
        <f t="shared" si="0"/>
        <v>43</v>
      </c>
      <c r="C53" s="128" t="s">
        <v>448</v>
      </c>
      <c r="D53" s="126">
        <f>SUM(D39:D51)</f>
        <v>118172</v>
      </c>
      <c r="E53" s="126">
        <f>SUM(E39:E51)</f>
        <v>13771</v>
      </c>
      <c r="F53" s="126">
        <f>SUM(F39:F51)</f>
        <v>131943</v>
      </c>
      <c r="G53" s="126">
        <f t="shared" ref="G53:K53" si="9">SUM(G39:G51)</f>
        <v>600</v>
      </c>
      <c r="H53" s="126">
        <f t="shared" si="9"/>
        <v>-600</v>
      </c>
      <c r="I53" s="126">
        <f t="shared" si="9"/>
        <v>118772</v>
      </c>
      <c r="J53" s="126">
        <f t="shared" si="9"/>
        <v>13171</v>
      </c>
      <c r="K53" s="1394">
        <f t="shared" si="9"/>
        <v>131943</v>
      </c>
      <c r="L53" s="1302" t="s">
        <v>441</v>
      </c>
      <c r="M53" s="1309">
        <f>SUM(M39:M52)</f>
        <v>0</v>
      </c>
      <c r="N53" s="1309">
        <f>SUM(N39:N52)</f>
        <v>0</v>
      </c>
      <c r="O53" s="1309">
        <f>SUM(O39:O52)</f>
        <v>0</v>
      </c>
      <c r="P53" s="1309"/>
      <c r="Q53" s="1309"/>
      <c r="R53" s="1309">
        <v>0</v>
      </c>
      <c r="S53" s="1309">
        <v>0</v>
      </c>
      <c r="T53" s="1324">
        <v>0</v>
      </c>
    </row>
    <row r="54" spans="1:20" ht="12" thickBot="1" x14ac:dyDescent="0.25">
      <c r="A54" s="210"/>
      <c r="B54" s="697">
        <f t="shared" si="0"/>
        <v>44</v>
      </c>
      <c r="C54" s="696" t="s">
        <v>443</v>
      </c>
      <c r="D54" s="689">
        <f>D34+D53</f>
        <v>118172</v>
      </c>
      <c r="E54" s="689">
        <f>E34+E53</f>
        <v>13771</v>
      </c>
      <c r="F54" s="689">
        <f>F34+F53</f>
        <v>131943</v>
      </c>
      <c r="G54" s="689">
        <f>G53</f>
        <v>600</v>
      </c>
      <c r="H54" s="689">
        <f t="shared" ref="H54:K54" si="10">H53</f>
        <v>-600</v>
      </c>
      <c r="I54" s="689">
        <f t="shared" si="10"/>
        <v>118772</v>
      </c>
      <c r="J54" s="689">
        <f t="shared" si="10"/>
        <v>13171</v>
      </c>
      <c r="K54" s="689">
        <f t="shared" si="10"/>
        <v>131943</v>
      </c>
      <c r="L54" s="696" t="s">
        <v>442</v>
      </c>
      <c r="M54" s="695">
        <f>M34+M53</f>
        <v>118172</v>
      </c>
      <c r="N54" s="695">
        <f>N34+N53</f>
        <v>13771</v>
      </c>
      <c r="O54" s="695">
        <f>O34+O53</f>
        <v>131943</v>
      </c>
      <c r="P54" s="695">
        <f>P34+P53</f>
        <v>600</v>
      </c>
      <c r="Q54" s="695">
        <f t="shared" ref="Q54:T54" si="11">Q34+Q53</f>
        <v>-600</v>
      </c>
      <c r="R54" s="695">
        <f t="shared" si="11"/>
        <v>118772</v>
      </c>
      <c r="S54" s="695">
        <f t="shared" si="11"/>
        <v>13171</v>
      </c>
      <c r="T54" s="695">
        <f t="shared" si="11"/>
        <v>131943</v>
      </c>
    </row>
    <row r="55" spans="1:20" x14ac:dyDescent="0.2">
      <c r="C55" s="130"/>
      <c r="D55" s="129"/>
      <c r="E55" s="129"/>
      <c r="F55" s="129"/>
      <c r="G55" s="129"/>
      <c r="H55" s="129"/>
      <c r="I55" s="129"/>
      <c r="J55" s="129"/>
      <c r="K55" s="129"/>
      <c r="L55" s="129"/>
      <c r="M55" s="133"/>
      <c r="N55" s="133"/>
      <c r="O55" s="133"/>
      <c r="P55" s="10"/>
    </row>
    <row r="56" spans="1:20" x14ac:dyDescent="0.2">
      <c r="P56" s="1303"/>
    </row>
  </sheetData>
  <sheetProtection selectLockedCells="1" selectUnlockedCells="1"/>
  <mergeCells count="16">
    <mergeCell ref="B8:B10"/>
    <mergeCell ref="C8:C9"/>
    <mergeCell ref="L8:L9"/>
    <mergeCell ref="D9:F9"/>
    <mergeCell ref="M9:O9"/>
    <mergeCell ref="G9:H9"/>
    <mergeCell ref="I9:K9"/>
    <mergeCell ref="D8:K8"/>
    <mergeCell ref="C4:T4"/>
    <mergeCell ref="C5:T5"/>
    <mergeCell ref="C6:T6"/>
    <mergeCell ref="C1:T1"/>
    <mergeCell ref="P9:Q9"/>
    <mergeCell ref="R9:T9"/>
    <mergeCell ref="M8:T8"/>
    <mergeCell ref="C7:O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3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60"/>
  <sheetViews>
    <sheetView workbookViewId="0">
      <selection activeCell="C5" sqref="C5:T5"/>
    </sheetView>
  </sheetViews>
  <sheetFormatPr defaultColWidth="9.140625" defaultRowHeight="11.25" x14ac:dyDescent="0.2"/>
  <cols>
    <col min="1" max="1" width="2.85546875" style="10" customWidth="1"/>
    <col min="2" max="2" width="4.85546875" style="118" customWidth="1"/>
    <col min="3" max="3" width="38.28515625" style="118" customWidth="1"/>
    <col min="4" max="6" width="10" style="119" customWidth="1"/>
    <col min="7" max="7" width="10.140625" style="119" customWidth="1"/>
    <col min="8" max="11" width="10" style="119" customWidth="1"/>
    <col min="12" max="12" width="38" style="119" customWidth="1"/>
    <col min="13" max="13" width="10" style="119" customWidth="1"/>
    <col min="14" max="15" width="10" style="209" customWidth="1"/>
    <col min="16" max="16" width="10.140625" style="118" customWidth="1"/>
    <col min="17" max="20" width="10" style="10" customWidth="1"/>
    <col min="21" max="16384" width="9.140625" style="10"/>
  </cols>
  <sheetData>
    <row r="1" spans="1:20" ht="12.75" customHeight="1" x14ac:dyDescent="0.2">
      <c r="C1" s="1398" t="s">
        <v>1423</v>
      </c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  <c r="R1" s="1398"/>
      <c r="S1" s="1398"/>
      <c r="T1" s="1398"/>
    </row>
    <row r="2" spans="1:20" x14ac:dyDescent="0.2">
      <c r="O2" s="258"/>
    </row>
    <row r="3" spans="1:20" x14ac:dyDescent="0.2">
      <c r="O3" s="258"/>
    </row>
    <row r="4" spans="1:20" s="99" customFormat="1" x14ac:dyDescent="0.2">
      <c r="B4" s="121"/>
      <c r="C4" s="1406" t="s">
        <v>77</v>
      </c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406"/>
      <c r="P4" s="1406"/>
      <c r="Q4" s="1406"/>
      <c r="R4" s="1406"/>
      <c r="S4" s="1406"/>
      <c r="T4" s="1406"/>
    </row>
    <row r="5" spans="1:20" s="99" customFormat="1" x14ac:dyDescent="0.2">
      <c r="B5" s="121"/>
      <c r="C5" s="1535" t="s">
        <v>690</v>
      </c>
      <c r="D5" s="1535"/>
      <c r="E5" s="1535"/>
      <c r="F5" s="1535"/>
      <c r="G5" s="1535"/>
      <c r="H5" s="1535"/>
      <c r="I5" s="1535"/>
      <c r="J5" s="1535"/>
      <c r="K5" s="1535"/>
      <c r="L5" s="1535"/>
      <c r="M5" s="1535"/>
      <c r="N5" s="1535"/>
      <c r="O5" s="1535"/>
      <c r="P5" s="1535"/>
      <c r="Q5" s="1535"/>
      <c r="R5" s="1535"/>
      <c r="S5" s="1535"/>
      <c r="T5" s="1535"/>
    </row>
    <row r="6" spans="1:20" s="99" customFormat="1" ht="12.75" customHeight="1" x14ac:dyDescent="0.2">
      <c r="B6" s="121"/>
      <c r="C6" s="1645" t="s">
        <v>1141</v>
      </c>
      <c r="D6" s="1645"/>
      <c r="E6" s="1645"/>
      <c r="F6" s="1645"/>
      <c r="G6" s="1645"/>
      <c r="H6" s="1645"/>
      <c r="I6" s="1645"/>
      <c r="J6" s="1645"/>
      <c r="K6" s="1645"/>
      <c r="L6" s="1645"/>
      <c r="M6" s="1645"/>
      <c r="N6" s="1645"/>
      <c r="O6" s="1645"/>
      <c r="P6" s="1645"/>
      <c r="Q6" s="1645"/>
      <c r="R6" s="1645"/>
      <c r="S6" s="1645"/>
      <c r="T6" s="1645"/>
    </row>
    <row r="7" spans="1:20" s="99" customFormat="1" x14ac:dyDescent="0.2">
      <c r="B7" s="121"/>
      <c r="C7" s="1405" t="s">
        <v>302</v>
      </c>
      <c r="D7" s="1405"/>
      <c r="E7" s="1405"/>
      <c r="F7" s="1405"/>
      <c r="G7" s="1405"/>
      <c r="H7" s="1405"/>
      <c r="I7" s="1405"/>
      <c r="J7" s="1405"/>
      <c r="K7" s="1405"/>
      <c r="L7" s="1405"/>
      <c r="M7" s="1405"/>
      <c r="N7" s="1405"/>
      <c r="O7" s="1405"/>
      <c r="P7" s="1405"/>
      <c r="Q7" s="1405"/>
      <c r="R7" s="1405"/>
      <c r="S7" s="1405"/>
      <c r="T7" s="1405"/>
    </row>
    <row r="8" spans="1:20" s="99" customFormat="1" ht="12.75" customHeight="1" x14ac:dyDescent="0.2">
      <c r="B8" s="1399" t="s">
        <v>56</v>
      </c>
      <c r="C8" s="1401" t="s">
        <v>57</v>
      </c>
      <c r="D8" s="1401" t="s">
        <v>58</v>
      </c>
      <c r="E8" s="1401"/>
      <c r="F8" s="1401"/>
      <c r="G8" s="1401"/>
      <c r="H8" s="1401"/>
      <c r="I8" s="1401"/>
      <c r="J8" s="1401"/>
      <c r="K8" s="1401"/>
      <c r="L8" s="1402" t="s">
        <v>59</v>
      </c>
      <c r="M8" s="1643" t="s">
        <v>60</v>
      </c>
      <c r="N8" s="1643"/>
      <c r="O8" s="1643"/>
      <c r="P8" s="1643"/>
      <c r="Q8" s="1643"/>
      <c r="R8" s="1643"/>
      <c r="S8" s="1643"/>
      <c r="T8" s="1643"/>
    </row>
    <row r="9" spans="1:20" s="99" customFormat="1" ht="12.75" customHeight="1" x14ac:dyDescent="0.2">
      <c r="B9" s="1399"/>
      <c r="C9" s="1401"/>
      <c r="D9" s="1403" t="s">
        <v>1419</v>
      </c>
      <c r="E9" s="1403"/>
      <c r="F9" s="1403"/>
      <c r="G9" s="1403" t="s">
        <v>1400</v>
      </c>
      <c r="H9" s="1403"/>
      <c r="I9" s="1403" t="s">
        <v>1420</v>
      </c>
      <c r="J9" s="1403"/>
      <c r="K9" s="1403"/>
      <c r="L9" s="1402"/>
      <c r="M9" s="1403" t="s">
        <v>1419</v>
      </c>
      <c r="N9" s="1403"/>
      <c r="O9" s="1403"/>
      <c r="P9" s="1403" t="s">
        <v>1400</v>
      </c>
      <c r="Q9" s="1403"/>
      <c r="R9" s="1403" t="s">
        <v>1420</v>
      </c>
      <c r="S9" s="1403"/>
      <c r="T9" s="1403"/>
    </row>
    <row r="10" spans="1:20" s="100" customFormat="1" ht="36.6" customHeight="1" x14ac:dyDescent="0.2">
      <c r="B10" s="1399"/>
      <c r="C10" s="1347" t="s">
        <v>61</v>
      </c>
      <c r="D10" s="817" t="s">
        <v>62</v>
      </c>
      <c r="E10" s="817" t="s">
        <v>63</v>
      </c>
      <c r="F10" s="817" t="s">
        <v>64</v>
      </c>
      <c r="G10" s="817" t="s">
        <v>62</v>
      </c>
      <c r="H10" s="817" t="s">
        <v>63</v>
      </c>
      <c r="I10" s="817" t="s">
        <v>62</v>
      </c>
      <c r="J10" s="817" t="s">
        <v>63</v>
      </c>
      <c r="K10" s="817" t="s">
        <v>64</v>
      </c>
      <c r="L10" s="1348" t="s">
        <v>65</v>
      </c>
      <c r="M10" s="817" t="s">
        <v>62</v>
      </c>
      <c r="N10" s="1381" t="s">
        <v>63</v>
      </c>
      <c r="O10" s="1381" t="s">
        <v>64</v>
      </c>
      <c r="P10" s="817" t="s">
        <v>62</v>
      </c>
      <c r="Q10" s="817" t="s">
        <v>63</v>
      </c>
      <c r="R10" s="817" t="s">
        <v>62</v>
      </c>
      <c r="S10" s="817" t="s">
        <v>63</v>
      </c>
      <c r="T10" s="817" t="s">
        <v>64</v>
      </c>
    </row>
    <row r="11" spans="1:20" ht="11.45" customHeight="1" x14ac:dyDescent="0.2">
      <c r="A11" s="1328"/>
      <c r="B11" s="570">
        <v>1</v>
      </c>
      <c r="C11" s="1349" t="s">
        <v>24</v>
      </c>
      <c r="D11" s="126"/>
      <c r="E11" s="126"/>
      <c r="F11" s="126"/>
      <c r="G11" s="126"/>
      <c r="H11" s="126"/>
      <c r="I11" s="126"/>
      <c r="J11" s="126"/>
      <c r="K11" s="340"/>
      <c r="L11" s="1302" t="s">
        <v>25</v>
      </c>
      <c r="M11" s="126"/>
      <c r="N11" s="1309"/>
      <c r="O11" s="1304"/>
      <c r="P11" s="210"/>
      <c r="Q11" s="210"/>
      <c r="R11" s="210"/>
      <c r="S11" s="210"/>
      <c r="T11" s="1328"/>
    </row>
    <row r="12" spans="1:20" x14ac:dyDescent="0.2">
      <c r="A12" s="1328"/>
      <c r="B12" s="570">
        <f t="shared" ref="B12:B54" si="0">B11+1</f>
        <v>2</v>
      </c>
      <c r="C12" s="123" t="s">
        <v>35</v>
      </c>
      <c r="D12" s="96"/>
      <c r="E12" s="96"/>
      <c r="F12" s="96"/>
      <c r="G12" s="96"/>
      <c r="H12" s="96"/>
      <c r="I12" s="96"/>
      <c r="J12" s="96"/>
      <c r="K12" s="341"/>
      <c r="L12" s="96" t="s">
        <v>215</v>
      </c>
      <c r="M12" s="204">
        <v>45602</v>
      </c>
      <c r="N12" s="204">
        <v>44778</v>
      </c>
      <c r="O12" s="1350">
        <f>SUM(M12:N12)</f>
        <v>90380</v>
      </c>
      <c r="P12" s="1304">
        <v>-18000</v>
      </c>
      <c r="Q12" s="1304">
        <v>18240</v>
      </c>
      <c r="R12" s="1304">
        <f>M12+P12</f>
        <v>27602</v>
      </c>
      <c r="S12" s="1304">
        <f>N12+Q12</f>
        <v>63018</v>
      </c>
      <c r="T12" s="1320">
        <f>R12+S12</f>
        <v>90620</v>
      </c>
    </row>
    <row r="13" spans="1:20" x14ac:dyDescent="0.2">
      <c r="A13" s="1328"/>
      <c r="B13" s="570">
        <f t="shared" si="0"/>
        <v>3</v>
      </c>
      <c r="C13" s="123" t="s">
        <v>36</v>
      </c>
      <c r="D13" s="96"/>
      <c r="E13" s="96"/>
      <c r="F13" s="96">
        <f t="shared" ref="F13:F18" si="1">SUM(D13:E13)</f>
        <v>0</v>
      </c>
      <c r="G13" s="96"/>
      <c r="H13" s="96"/>
      <c r="I13" s="96"/>
      <c r="J13" s="96"/>
      <c r="K13" s="341"/>
      <c r="L13" s="96" t="s">
        <v>216</v>
      </c>
      <c r="M13" s="204">
        <v>7106</v>
      </c>
      <c r="N13" s="204">
        <v>10468</v>
      </c>
      <c r="O13" s="1350">
        <f>SUM(M13:N13)</f>
        <v>17574</v>
      </c>
      <c r="P13" s="1304">
        <v>-1843</v>
      </c>
      <c r="Q13" s="1304">
        <v>2543</v>
      </c>
      <c r="R13" s="1304">
        <f t="shared" ref="R13:R14" si="2">M13+P13</f>
        <v>5263</v>
      </c>
      <c r="S13" s="1304">
        <f t="shared" ref="S13:S14" si="3">N13+Q13</f>
        <v>13011</v>
      </c>
      <c r="T13" s="1320">
        <f t="shared" ref="T13:T14" si="4">R13+S13</f>
        <v>18274</v>
      </c>
    </row>
    <row r="14" spans="1:20" x14ac:dyDescent="0.2">
      <c r="A14" s="1328"/>
      <c r="B14" s="570">
        <f t="shared" si="0"/>
        <v>4</v>
      </c>
      <c r="C14" s="123" t="s">
        <v>37</v>
      </c>
      <c r="D14" s="96">
        <v>0</v>
      </c>
      <c r="E14" s="96">
        <f>'tám, végl. pe.átv  '!D58</f>
        <v>0</v>
      </c>
      <c r="F14" s="96">
        <f t="shared" si="1"/>
        <v>0</v>
      </c>
      <c r="G14" s="96"/>
      <c r="H14" s="96">
        <v>140</v>
      </c>
      <c r="I14" s="96">
        <f>D14+G14</f>
        <v>0</v>
      </c>
      <c r="J14" s="96">
        <f>E14+H14</f>
        <v>140</v>
      </c>
      <c r="K14" s="341">
        <f>I14+J14</f>
        <v>140</v>
      </c>
      <c r="L14" s="96" t="s">
        <v>217</v>
      </c>
      <c r="M14" s="204">
        <v>88835</v>
      </c>
      <c r="N14" s="204">
        <v>89050</v>
      </c>
      <c r="O14" s="1350">
        <f>SUM(M14:N14)</f>
        <v>177885</v>
      </c>
      <c r="P14" s="1304">
        <v>-30050</v>
      </c>
      <c r="Q14" s="1304">
        <v>33254</v>
      </c>
      <c r="R14" s="1304">
        <f t="shared" si="2"/>
        <v>58785</v>
      </c>
      <c r="S14" s="1304">
        <f t="shared" si="3"/>
        <v>122304</v>
      </c>
      <c r="T14" s="1320">
        <f t="shared" si="4"/>
        <v>181089</v>
      </c>
    </row>
    <row r="15" spans="1:20" ht="12" customHeight="1" x14ac:dyDescent="0.2">
      <c r="A15" s="1328"/>
      <c r="B15" s="570">
        <f t="shared" si="0"/>
        <v>5</v>
      </c>
      <c r="C15" s="1369"/>
      <c r="D15" s="96"/>
      <c r="E15" s="96"/>
      <c r="F15" s="96"/>
      <c r="G15" s="96"/>
      <c r="H15" s="96"/>
      <c r="I15" s="96"/>
      <c r="J15" s="96"/>
      <c r="K15" s="341"/>
      <c r="L15" s="96"/>
      <c r="M15" s="204"/>
      <c r="N15" s="204"/>
      <c r="O15" s="204"/>
      <c r="P15" s="1304"/>
      <c r="Q15" s="1304"/>
      <c r="R15" s="210"/>
      <c r="S15" s="210"/>
      <c r="T15" s="1328"/>
    </row>
    <row r="16" spans="1:20" x14ac:dyDescent="0.2">
      <c r="A16" s="1328"/>
      <c r="B16" s="570">
        <f t="shared" si="0"/>
        <v>6</v>
      </c>
      <c r="C16" s="123" t="s">
        <v>38</v>
      </c>
      <c r="D16" s="96"/>
      <c r="E16" s="96"/>
      <c r="F16" s="96">
        <f t="shared" si="1"/>
        <v>0</v>
      </c>
      <c r="G16" s="96"/>
      <c r="H16" s="96"/>
      <c r="I16" s="96"/>
      <c r="J16" s="96"/>
      <c r="K16" s="341"/>
      <c r="L16" s="96" t="s">
        <v>28</v>
      </c>
      <c r="M16" s="124"/>
      <c r="N16" s="1304"/>
      <c r="O16" s="1304"/>
      <c r="P16" s="1304"/>
      <c r="Q16" s="1304"/>
      <c r="R16" s="210"/>
      <c r="S16" s="210"/>
      <c r="T16" s="1328"/>
    </row>
    <row r="17" spans="1:20" x14ac:dyDescent="0.2">
      <c r="A17" s="1328"/>
      <c r="B17" s="570">
        <f t="shared" si="0"/>
        <v>7</v>
      </c>
      <c r="C17" s="123"/>
      <c r="D17" s="96"/>
      <c r="E17" s="96"/>
      <c r="F17" s="96"/>
      <c r="G17" s="96"/>
      <c r="H17" s="96"/>
      <c r="I17" s="96"/>
      <c r="J17" s="96"/>
      <c r="K17" s="341"/>
      <c r="L17" s="96" t="s">
        <v>30</v>
      </c>
      <c r="M17" s="124"/>
      <c r="N17" s="1304"/>
      <c r="O17" s="1304"/>
      <c r="P17" s="1304"/>
      <c r="Q17" s="1304"/>
      <c r="R17" s="210"/>
      <c r="S17" s="210"/>
      <c r="T17" s="1328"/>
    </row>
    <row r="18" spans="1:20" x14ac:dyDescent="0.2">
      <c r="A18" s="1328"/>
      <c r="B18" s="570">
        <f t="shared" si="0"/>
        <v>8</v>
      </c>
      <c r="C18" s="123" t="s">
        <v>39</v>
      </c>
      <c r="D18" s="96"/>
      <c r="E18" s="96"/>
      <c r="F18" s="96">
        <f t="shared" si="1"/>
        <v>0</v>
      </c>
      <c r="G18" s="96"/>
      <c r="H18" s="96"/>
      <c r="I18" s="96"/>
      <c r="J18" s="96"/>
      <c r="K18" s="341"/>
      <c r="L18" s="96" t="s">
        <v>446</v>
      </c>
      <c r="M18" s="124"/>
      <c r="N18" s="1304"/>
      <c r="O18" s="1304"/>
      <c r="P18" s="1304"/>
      <c r="Q18" s="1304"/>
      <c r="R18" s="210"/>
      <c r="S18" s="210"/>
      <c r="T18" s="1328"/>
    </row>
    <row r="19" spans="1:20" x14ac:dyDescent="0.2">
      <c r="A19" s="1328"/>
      <c r="B19" s="570">
        <f t="shared" si="0"/>
        <v>9</v>
      </c>
      <c r="C19" s="125" t="s">
        <v>40</v>
      </c>
      <c r="D19" s="1368"/>
      <c r="E19" s="1368"/>
      <c r="F19" s="1368"/>
      <c r="G19" s="1368"/>
      <c r="H19" s="1368"/>
      <c r="I19" s="96"/>
      <c r="J19" s="96"/>
      <c r="K19" s="341"/>
      <c r="L19" s="96" t="s">
        <v>445</v>
      </c>
      <c r="M19" s="124"/>
      <c r="N19" s="1304"/>
      <c r="O19" s="1304"/>
      <c r="P19" s="1304"/>
      <c r="Q19" s="1304"/>
      <c r="R19" s="210"/>
      <c r="S19" s="210"/>
      <c r="T19" s="1328"/>
    </row>
    <row r="20" spans="1:20" x14ac:dyDescent="0.2">
      <c r="A20" s="1328"/>
      <c r="B20" s="570">
        <f t="shared" si="0"/>
        <v>10</v>
      </c>
      <c r="C20" s="123" t="s">
        <v>194</v>
      </c>
      <c r="D20" s="1350">
        <v>70500</v>
      </c>
      <c r="E20" s="1350">
        <v>33707</v>
      </c>
      <c r="F20" s="1368">
        <f>SUM(D20:E20)</f>
        <v>104207</v>
      </c>
      <c r="G20" s="1368">
        <v>3830</v>
      </c>
      <c r="H20" s="1368">
        <v>6520</v>
      </c>
      <c r="I20" s="96">
        <f t="shared" ref="I20:I29" si="5">D20+G20</f>
        <v>74330</v>
      </c>
      <c r="J20" s="96">
        <f t="shared" ref="J20:J29" si="6">E20+H20</f>
        <v>40227</v>
      </c>
      <c r="K20" s="341">
        <f t="shared" ref="K20:K29" si="7">I20+J20</f>
        <v>114557</v>
      </c>
      <c r="L20" s="96" t="s">
        <v>927</v>
      </c>
      <c r="M20" s="124"/>
      <c r="N20" s="1304"/>
      <c r="O20" s="1304">
        <f>M20+N20</f>
        <v>0</v>
      </c>
      <c r="P20" s="1304"/>
      <c r="Q20" s="1304"/>
      <c r="R20" s="210"/>
      <c r="S20" s="210"/>
      <c r="T20" s="1328"/>
    </row>
    <row r="21" spans="1:20" x14ac:dyDescent="0.2">
      <c r="A21" s="1328"/>
      <c r="B21" s="570">
        <f t="shared" si="0"/>
        <v>11</v>
      </c>
      <c r="C21" s="1303"/>
      <c r="D21" s="1368"/>
      <c r="E21" s="1368"/>
      <c r="F21" s="1368"/>
      <c r="G21" s="1368"/>
      <c r="H21" s="1368"/>
      <c r="I21" s="96"/>
      <c r="J21" s="96"/>
      <c r="K21" s="341"/>
      <c r="L21" s="96" t="s">
        <v>438</v>
      </c>
      <c r="M21" s="124"/>
      <c r="N21" s="1304"/>
      <c r="O21" s="1304"/>
      <c r="P21" s="1304"/>
      <c r="Q21" s="1304"/>
      <c r="R21" s="210"/>
      <c r="S21" s="210"/>
      <c r="T21" s="1328"/>
    </row>
    <row r="22" spans="1:20" s="101" customFormat="1" x14ac:dyDescent="0.2">
      <c r="A22" s="1329"/>
      <c r="B22" s="570">
        <f t="shared" si="0"/>
        <v>12</v>
      </c>
      <c r="C22" s="1303" t="s">
        <v>42</v>
      </c>
      <c r="D22" s="1368"/>
      <c r="E22" s="1368"/>
      <c r="F22" s="1368"/>
      <c r="G22" s="1368"/>
      <c r="H22" s="1368"/>
      <c r="I22" s="96"/>
      <c r="J22" s="96"/>
      <c r="K22" s="341"/>
      <c r="L22" s="96" t="s">
        <v>439</v>
      </c>
      <c r="M22" s="124"/>
      <c r="N22" s="1304"/>
      <c r="O22" s="1304"/>
      <c r="P22" s="1371"/>
      <c r="Q22" s="1371"/>
      <c r="R22" s="1353"/>
      <c r="S22" s="1353"/>
      <c r="T22" s="1329"/>
    </row>
    <row r="23" spans="1:20" s="101" customFormat="1" x14ac:dyDescent="0.2">
      <c r="A23" s="1329"/>
      <c r="B23" s="570">
        <f t="shared" si="0"/>
        <v>13</v>
      </c>
      <c r="C23" s="1303" t="s">
        <v>43</v>
      </c>
      <c r="D23" s="1368"/>
      <c r="E23" s="1368"/>
      <c r="F23" s="1368"/>
      <c r="G23" s="1368"/>
      <c r="H23" s="1368"/>
      <c r="I23" s="96"/>
      <c r="J23" s="96"/>
      <c r="K23" s="341"/>
      <c r="L23" s="124"/>
      <c r="M23" s="124"/>
      <c r="N23" s="1304"/>
      <c r="O23" s="1304"/>
      <c r="P23" s="1371"/>
      <c r="Q23" s="1371"/>
      <c r="R23" s="1353"/>
      <c r="S23" s="1353"/>
      <c r="T23" s="1329"/>
    </row>
    <row r="24" spans="1:20" x14ac:dyDescent="0.2">
      <c r="A24" s="1328"/>
      <c r="B24" s="570">
        <f t="shared" si="0"/>
        <v>14</v>
      </c>
      <c r="C24" s="123" t="s">
        <v>44</v>
      </c>
      <c r="D24" s="1370"/>
      <c r="E24" s="1370"/>
      <c r="F24" s="1370"/>
      <c r="G24" s="1370"/>
      <c r="H24" s="1370"/>
      <c r="I24" s="96"/>
      <c r="J24" s="96"/>
      <c r="K24" s="341"/>
      <c r="L24" s="1372" t="s">
        <v>66</v>
      </c>
      <c r="M24" s="1354">
        <f>SUM(M12:M22)</f>
        <v>141543</v>
      </c>
      <c r="N24" s="1308">
        <f>SUM(N12:N22)</f>
        <v>144296</v>
      </c>
      <c r="O24" s="1308">
        <f>SUM(O12:O22)</f>
        <v>285839</v>
      </c>
      <c r="P24" s="1308">
        <f t="shared" ref="P24:T24" si="8">SUM(P12:P22)</f>
        <v>-49893</v>
      </c>
      <c r="Q24" s="1308">
        <f t="shared" si="8"/>
        <v>54037</v>
      </c>
      <c r="R24" s="1308">
        <f t="shared" si="8"/>
        <v>91650</v>
      </c>
      <c r="S24" s="1308">
        <f t="shared" si="8"/>
        <v>198333</v>
      </c>
      <c r="T24" s="1323">
        <f t="shared" si="8"/>
        <v>289983</v>
      </c>
    </row>
    <row r="25" spans="1:20" x14ac:dyDescent="0.2">
      <c r="A25" s="1328"/>
      <c r="B25" s="570">
        <f t="shared" si="0"/>
        <v>15</v>
      </c>
      <c r="C25" s="123" t="s">
        <v>45</v>
      </c>
      <c r="D25" s="1368"/>
      <c r="E25" s="1368"/>
      <c r="F25" s="1368"/>
      <c r="G25" s="1368"/>
      <c r="H25" s="1368"/>
      <c r="I25" s="96"/>
      <c r="J25" s="96"/>
      <c r="K25" s="341"/>
      <c r="L25" s="124"/>
      <c r="M25" s="124"/>
      <c r="N25" s="1304"/>
      <c r="O25" s="1304"/>
      <c r="P25" s="1304"/>
      <c r="Q25" s="1304"/>
      <c r="R25" s="210"/>
      <c r="S25" s="210"/>
      <c r="T25" s="1328"/>
    </row>
    <row r="26" spans="1:20" x14ac:dyDescent="0.2">
      <c r="A26" s="1328"/>
      <c r="B26" s="570">
        <f t="shared" si="0"/>
        <v>16</v>
      </c>
      <c r="C26" s="123" t="s">
        <v>46</v>
      </c>
      <c r="D26" s="1302"/>
      <c r="E26" s="1302"/>
      <c r="F26" s="1302"/>
      <c r="G26" s="1302"/>
      <c r="H26" s="1302"/>
      <c r="I26" s="96"/>
      <c r="J26" s="96"/>
      <c r="K26" s="341"/>
      <c r="L26" s="1302" t="s">
        <v>34</v>
      </c>
      <c r="M26" s="126"/>
      <c r="N26" s="1309"/>
      <c r="O26" s="1304"/>
      <c r="P26" s="1304"/>
      <c r="Q26" s="1304"/>
      <c r="R26" s="210"/>
      <c r="S26" s="210"/>
      <c r="T26" s="1328"/>
    </row>
    <row r="27" spans="1:20" x14ac:dyDescent="0.2">
      <c r="A27" s="1328"/>
      <c r="B27" s="570">
        <f t="shared" si="0"/>
        <v>17</v>
      </c>
      <c r="C27" s="123" t="s">
        <v>47</v>
      </c>
      <c r="D27" s="96"/>
      <c r="E27" s="96"/>
      <c r="F27" s="96"/>
      <c r="G27" s="96"/>
      <c r="H27" s="96"/>
      <c r="I27" s="96"/>
      <c r="J27" s="96"/>
      <c r="K27" s="341"/>
      <c r="L27" s="96" t="s">
        <v>273</v>
      </c>
      <c r="M27" s="124">
        <f>'felhalm. kiad.  '!N131</f>
        <v>2500</v>
      </c>
      <c r="N27" s="124">
        <f>'felhalm. kiad.  '!Q131</f>
        <v>2500</v>
      </c>
      <c r="O27" s="124">
        <f>'felhalm. kiad.  '!K131</f>
        <v>5000</v>
      </c>
      <c r="P27" s="1304">
        <v>-1077</v>
      </c>
      <c r="Q27" s="1304">
        <v>88</v>
      </c>
      <c r="R27" s="1304">
        <f>M27+P27</f>
        <v>1423</v>
      </c>
      <c r="S27" s="1304">
        <f>N27+Q27</f>
        <v>2588</v>
      </c>
      <c r="T27" s="1320">
        <f>R27+S27</f>
        <v>4011</v>
      </c>
    </row>
    <row r="28" spans="1:20" x14ac:dyDescent="0.2">
      <c r="A28" s="1328"/>
      <c r="B28" s="570">
        <f t="shared" si="0"/>
        <v>18</v>
      </c>
      <c r="C28" s="123"/>
      <c r="D28" s="96"/>
      <c r="E28" s="96"/>
      <c r="F28" s="96"/>
      <c r="G28" s="96"/>
      <c r="H28" s="96"/>
      <c r="I28" s="96"/>
      <c r="J28" s="96"/>
      <c r="K28" s="341"/>
      <c r="L28" s="96" t="s">
        <v>31</v>
      </c>
      <c r="M28" s="124"/>
      <c r="N28" s="1304"/>
      <c r="O28" s="1304"/>
      <c r="P28" s="1304"/>
      <c r="Q28" s="1304"/>
      <c r="R28" s="210"/>
      <c r="S28" s="210"/>
      <c r="T28" s="1328"/>
    </row>
    <row r="29" spans="1:20" x14ac:dyDescent="0.2">
      <c r="A29" s="1328"/>
      <c r="B29" s="570">
        <f t="shared" si="0"/>
        <v>19</v>
      </c>
      <c r="C29" s="1303" t="s">
        <v>50</v>
      </c>
      <c r="D29" s="96">
        <f>'tám, végl. pe.átv  '!C61</f>
        <v>0</v>
      </c>
      <c r="E29" s="96">
        <f>'tám, végl. pe.átv  '!D61</f>
        <v>401</v>
      </c>
      <c r="F29" s="96">
        <f>'tám, végl. pe.átv  '!E61</f>
        <v>401</v>
      </c>
      <c r="G29" s="96"/>
      <c r="H29" s="96">
        <v>187</v>
      </c>
      <c r="I29" s="96">
        <f t="shared" si="5"/>
        <v>0</v>
      </c>
      <c r="J29" s="96">
        <f t="shared" si="6"/>
        <v>588</v>
      </c>
      <c r="K29" s="341">
        <f t="shared" si="7"/>
        <v>588</v>
      </c>
      <c r="L29" s="96" t="s">
        <v>32</v>
      </c>
      <c r="M29" s="124"/>
      <c r="N29" s="1304"/>
      <c r="O29" s="1304"/>
      <c r="P29" s="1304"/>
      <c r="Q29" s="1304"/>
      <c r="R29" s="210"/>
      <c r="S29" s="210"/>
      <c r="T29" s="1328"/>
    </row>
    <row r="30" spans="1:20" s="101" customFormat="1" x14ac:dyDescent="0.2">
      <c r="A30" s="1329"/>
      <c r="B30" s="570">
        <f t="shared" si="0"/>
        <v>20</v>
      </c>
      <c r="C30" s="1303" t="s">
        <v>48</v>
      </c>
      <c r="D30" s="96"/>
      <c r="E30" s="96"/>
      <c r="F30" s="96"/>
      <c r="G30" s="96"/>
      <c r="H30" s="96"/>
      <c r="I30" s="96"/>
      <c r="J30" s="96"/>
      <c r="K30" s="341"/>
      <c r="L30" s="96" t="s">
        <v>447</v>
      </c>
      <c r="M30" s="124"/>
      <c r="N30" s="1304"/>
      <c r="O30" s="1304"/>
      <c r="P30" s="1371"/>
      <c r="Q30" s="1371"/>
      <c r="R30" s="1353"/>
      <c r="S30" s="1353"/>
      <c r="T30" s="1329"/>
    </row>
    <row r="31" spans="1:20" x14ac:dyDescent="0.2">
      <c r="A31" s="1328"/>
      <c r="B31" s="570">
        <f t="shared" si="0"/>
        <v>21</v>
      </c>
      <c r="C31" s="1303"/>
      <c r="D31" s="96"/>
      <c r="E31" s="96"/>
      <c r="F31" s="96"/>
      <c r="G31" s="96"/>
      <c r="H31" s="96"/>
      <c r="I31" s="96"/>
      <c r="J31" s="96"/>
      <c r="K31" s="341"/>
      <c r="L31" s="96" t="s">
        <v>444</v>
      </c>
      <c r="M31" s="124"/>
      <c r="N31" s="1304"/>
      <c r="O31" s="1304"/>
      <c r="P31" s="1304"/>
      <c r="Q31" s="1304"/>
      <c r="R31" s="210"/>
      <c r="S31" s="210"/>
      <c r="T31" s="1328"/>
    </row>
    <row r="32" spans="1:20" s="11" customFormat="1" x14ac:dyDescent="0.2">
      <c r="A32" s="1330"/>
      <c r="B32" s="570">
        <f t="shared" si="0"/>
        <v>22</v>
      </c>
      <c r="C32" s="1355" t="s">
        <v>52</v>
      </c>
      <c r="D32" s="1386">
        <f>D14+D20</f>
        <v>70500</v>
      </c>
      <c r="E32" s="1386">
        <f>E14+E20+E29</f>
        <v>34108</v>
      </c>
      <c r="F32" s="1386">
        <f>F14+F20+F29</f>
        <v>104608</v>
      </c>
      <c r="G32" s="1386">
        <f t="shared" ref="G32:K32" si="9">G14+G20+G29</f>
        <v>3830</v>
      </c>
      <c r="H32" s="1386">
        <f t="shared" si="9"/>
        <v>6847</v>
      </c>
      <c r="I32" s="1386">
        <f t="shared" si="9"/>
        <v>74330</v>
      </c>
      <c r="J32" s="1386">
        <f t="shared" si="9"/>
        <v>40955</v>
      </c>
      <c r="K32" s="1387">
        <f t="shared" si="9"/>
        <v>115285</v>
      </c>
      <c r="L32" s="96" t="s">
        <v>440</v>
      </c>
      <c r="M32" s="124"/>
      <c r="N32" s="1304"/>
      <c r="O32" s="1304"/>
      <c r="P32" s="1309"/>
      <c r="Q32" s="1309"/>
      <c r="R32" s="598"/>
      <c r="S32" s="598"/>
      <c r="T32" s="1330"/>
    </row>
    <row r="33" spans="1:20" x14ac:dyDescent="0.2">
      <c r="A33" s="1328"/>
      <c r="B33" s="570">
        <f t="shared" si="0"/>
        <v>23</v>
      </c>
      <c r="C33" s="1356" t="s">
        <v>67</v>
      </c>
      <c r="D33" s="1372"/>
      <c r="E33" s="1372"/>
      <c r="F33" s="1372"/>
      <c r="G33" s="1372"/>
      <c r="H33" s="1372"/>
      <c r="I33" s="1372"/>
      <c r="J33" s="1372"/>
      <c r="K33" s="1383"/>
      <c r="L33" s="1370" t="s">
        <v>68</v>
      </c>
      <c r="M33" s="1354">
        <f>SUM(M27:M32)</f>
        <v>2500</v>
      </c>
      <c r="N33" s="1308">
        <f>SUM(N27:N32)</f>
        <v>2500</v>
      </c>
      <c r="O33" s="1308">
        <f>SUM(O27:O31)</f>
        <v>5000</v>
      </c>
      <c r="P33" s="1308">
        <f>SUM(P27:P32)</f>
        <v>-1077</v>
      </c>
      <c r="Q33" s="1308">
        <f t="shared" ref="Q33:T33" si="10">SUM(Q27:Q32)</f>
        <v>88</v>
      </c>
      <c r="R33" s="1308">
        <f t="shared" si="10"/>
        <v>1423</v>
      </c>
      <c r="S33" s="1308">
        <f t="shared" si="10"/>
        <v>2588</v>
      </c>
      <c r="T33" s="1323">
        <f t="shared" si="10"/>
        <v>4011</v>
      </c>
    </row>
    <row r="34" spans="1:20" x14ac:dyDescent="0.2">
      <c r="A34" s="1328"/>
      <c r="B34" s="570">
        <f t="shared" si="0"/>
        <v>24</v>
      </c>
      <c r="C34" s="128" t="s">
        <v>51</v>
      </c>
      <c r="D34" s="126">
        <f>SUM(D32:D33)</f>
        <v>70500</v>
      </c>
      <c r="E34" s="126">
        <f>SUM(E32:E33)</f>
        <v>34108</v>
      </c>
      <c r="F34" s="126">
        <f>SUM(D34:E34)</f>
        <v>104608</v>
      </c>
      <c r="G34" s="126">
        <f>G32+G33</f>
        <v>3830</v>
      </c>
      <c r="H34" s="126">
        <f t="shared" ref="H34:K34" si="11">H32+H33</f>
        <v>6847</v>
      </c>
      <c r="I34" s="126">
        <f t="shared" si="11"/>
        <v>74330</v>
      </c>
      <c r="J34" s="126">
        <f t="shared" si="11"/>
        <v>40955</v>
      </c>
      <c r="K34" s="340">
        <f t="shared" si="11"/>
        <v>115285</v>
      </c>
      <c r="L34" s="126" t="s">
        <v>69</v>
      </c>
      <c r="M34" s="126">
        <f>M24+M33</f>
        <v>144043</v>
      </c>
      <c r="N34" s="1309">
        <f>N24+N33</f>
        <v>146796</v>
      </c>
      <c r="O34" s="1309">
        <f>O24+O33</f>
        <v>290839</v>
      </c>
      <c r="P34" s="1309">
        <f t="shared" ref="P34:T34" si="12">P24+P33</f>
        <v>-50970</v>
      </c>
      <c r="Q34" s="1309">
        <f t="shared" si="12"/>
        <v>54125</v>
      </c>
      <c r="R34" s="1309">
        <f t="shared" si="12"/>
        <v>93073</v>
      </c>
      <c r="S34" s="1309">
        <f t="shared" si="12"/>
        <v>200921</v>
      </c>
      <c r="T34" s="1324">
        <f t="shared" si="12"/>
        <v>293994</v>
      </c>
    </row>
    <row r="35" spans="1:20" x14ac:dyDescent="0.2">
      <c r="A35" s="1328"/>
      <c r="B35" s="570">
        <f t="shared" si="0"/>
        <v>25</v>
      </c>
      <c r="C35" s="1303"/>
      <c r="D35" s="124"/>
      <c r="E35" s="124"/>
      <c r="F35" s="124"/>
      <c r="G35" s="124"/>
      <c r="H35" s="124"/>
      <c r="I35" s="124"/>
      <c r="J35" s="124"/>
      <c r="K35" s="1374"/>
      <c r="L35" s="124"/>
      <c r="M35" s="124"/>
      <c r="N35" s="1304"/>
      <c r="O35" s="1304"/>
      <c r="P35" s="1304"/>
      <c r="Q35" s="1304"/>
      <c r="R35" s="210"/>
      <c r="S35" s="210"/>
      <c r="T35" s="1328"/>
    </row>
    <row r="36" spans="1:20" x14ac:dyDescent="0.2">
      <c r="A36" s="1328"/>
      <c r="B36" s="570">
        <f t="shared" si="0"/>
        <v>26</v>
      </c>
      <c r="C36" s="1303"/>
      <c r="D36" s="124"/>
      <c r="E36" s="124"/>
      <c r="F36" s="124"/>
      <c r="G36" s="124"/>
      <c r="H36" s="124"/>
      <c r="I36" s="124"/>
      <c r="J36" s="124"/>
      <c r="K36" s="1374"/>
      <c r="L36" s="1354"/>
      <c r="M36" s="1354"/>
      <c r="N36" s="1308"/>
      <c r="O36" s="1308"/>
      <c r="P36" s="1304"/>
      <c r="Q36" s="1304"/>
      <c r="R36" s="210"/>
      <c r="S36" s="210"/>
      <c r="T36" s="1328"/>
    </row>
    <row r="37" spans="1:20" s="11" customFormat="1" x14ac:dyDescent="0.2">
      <c r="A37" s="1330"/>
      <c r="B37" s="570">
        <f t="shared" si="0"/>
        <v>27</v>
      </c>
      <c r="C37" s="1303"/>
      <c r="D37" s="124"/>
      <c r="E37" s="124"/>
      <c r="F37" s="124"/>
      <c r="G37" s="124"/>
      <c r="H37" s="124"/>
      <c r="I37" s="124"/>
      <c r="J37" s="124"/>
      <c r="K37" s="1374"/>
      <c r="L37" s="124"/>
      <c r="M37" s="124"/>
      <c r="N37" s="1304"/>
      <c r="O37" s="1304"/>
      <c r="P37" s="1309"/>
      <c r="Q37" s="1309"/>
      <c r="R37" s="598"/>
      <c r="S37" s="598"/>
      <c r="T37" s="1330"/>
    </row>
    <row r="38" spans="1:20" s="11" customFormat="1" x14ac:dyDescent="0.2">
      <c r="A38" s="1330"/>
      <c r="B38" s="570">
        <f t="shared" si="0"/>
        <v>28</v>
      </c>
      <c r="C38" s="1302" t="s">
        <v>53</v>
      </c>
      <c r="D38" s="1302"/>
      <c r="E38" s="1302"/>
      <c r="F38" s="1302"/>
      <c r="G38" s="1302"/>
      <c r="H38" s="1302"/>
      <c r="I38" s="1302"/>
      <c r="J38" s="1302"/>
      <c r="K38" s="375"/>
      <c r="L38" s="1302" t="s">
        <v>33</v>
      </c>
      <c r="M38" s="126"/>
      <c r="N38" s="1309"/>
      <c r="O38" s="1309"/>
      <c r="P38" s="1309"/>
      <c r="Q38" s="1309"/>
      <c r="R38" s="598"/>
      <c r="S38" s="598"/>
      <c r="T38" s="1330"/>
    </row>
    <row r="39" spans="1:20" s="11" customFormat="1" ht="12" customHeight="1" x14ac:dyDescent="0.2">
      <c r="A39" s="1330"/>
      <c r="B39" s="570">
        <f t="shared" si="0"/>
        <v>29</v>
      </c>
      <c r="C39" s="1357" t="s">
        <v>682</v>
      </c>
      <c r="D39" s="1302"/>
      <c r="E39" s="1302"/>
      <c r="F39" s="1302"/>
      <c r="G39" s="1302"/>
      <c r="H39" s="1302"/>
      <c r="I39" s="1302"/>
      <c r="J39" s="1302"/>
      <c r="K39" s="375"/>
      <c r="L39" s="1357" t="s">
        <v>4</v>
      </c>
      <c r="M39" s="126"/>
      <c r="N39" s="598"/>
      <c r="O39" s="598"/>
      <c r="P39" s="1309"/>
      <c r="Q39" s="1309"/>
      <c r="R39" s="598"/>
      <c r="S39" s="598"/>
      <c r="T39" s="1330"/>
    </row>
    <row r="40" spans="1:20" s="11" customFormat="1" x14ac:dyDescent="0.2">
      <c r="A40" s="1330"/>
      <c r="B40" s="570">
        <f t="shared" si="0"/>
        <v>30</v>
      </c>
      <c r="C40" s="1303" t="s">
        <v>962</v>
      </c>
      <c r="D40" s="1302"/>
      <c r="E40" s="1302"/>
      <c r="F40" s="1302"/>
      <c r="G40" s="1302"/>
      <c r="H40" s="1302"/>
      <c r="I40" s="1302"/>
      <c r="J40" s="1302"/>
      <c r="K40" s="375"/>
      <c r="L40" s="123" t="s">
        <v>3</v>
      </c>
      <c r="M40" s="126"/>
      <c r="N40" s="1309"/>
      <c r="O40" s="1309"/>
      <c r="P40" s="1309"/>
      <c r="Q40" s="1309"/>
      <c r="R40" s="598"/>
      <c r="S40" s="598"/>
      <c r="T40" s="1330"/>
    </row>
    <row r="41" spans="1:20" x14ac:dyDescent="0.2">
      <c r="A41" s="1328"/>
      <c r="B41" s="570">
        <f t="shared" si="0"/>
        <v>31</v>
      </c>
      <c r="C41" s="96" t="s">
        <v>684</v>
      </c>
      <c r="D41" s="1373"/>
      <c r="E41" s="1373"/>
      <c r="F41" s="1373"/>
      <c r="G41" s="1373"/>
      <c r="H41" s="1373"/>
      <c r="I41" s="1373"/>
      <c r="J41" s="1373"/>
      <c r="K41" s="1375"/>
      <c r="L41" s="96" t="s">
        <v>5</v>
      </c>
      <c r="M41" s="126"/>
      <c r="N41" s="1309"/>
      <c r="O41" s="1309"/>
      <c r="P41" s="1304"/>
      <c r="Q41" s="1304"/>
      <c r="R41" s="210"/>
      <c r="S41" s="210"/>
      <c r="T41" s="1328"/>
    </row>
    <row r="42" spans="1:20" x14ac:dyDescent="0.2">
      <c r="A42" s="1328"/>
      <c r="B42" s="570">
        <f t="shared" si="0"/>
        <v>32</v>
      </c>
      <c r="C42" s="96" t="s">
        <v>207</v>
      </c>
      <c r="D42" s="96"/>
      <c r="E42" s="96"/>
      <c r="F42" s="96"/>
      <c r="G42" s="96"/>
      <c r="H42" s="96"/>
      <c r="I42" s="96"/>
      <c r="J42" s="96"/>
      <c r="K42" s="341"/>
      <c r="L42" s="96" t="s">
        <v>6</v>
      </c>
      <c r="M42" s="126"/>
      <c r="N42" s="1309"/>
      <c r="O42" s="1309"/>
      <c r="P42" s="1304"/>
      <c r="Q42" s="1304"/>
      <c r="R42" s="210"/>
      <c r="S42" s="210"/>
      <c r="T42" s="1328"/>
    </row>
    <row r="43" spans="1:20" x14ac:dyDescent="0.2">
      <c r="A43" s="1328"/>
      <c r="B43" s="570">
        <f t="shared" si="0"/>
        <v>33</v>
      </c>
      <c r="C43" s="1362" t="s">
        <v>208</v>
      </c>
      <c r="D43" s="96">
        <v>3148</v>
      </c>
      <c r="E43" s="96"/>
      <c r="F43" s="96">
        <f>D43+E43</f>
        <v>3148</v>
      </c>
      <c r="G43" s="96"/>
      <c r="H43" s="96"/>
      <c r="I43" s="96">
        <f>D43+G43</f>
        <v>3148</v>
      </c>
      <c r="J43" s="96">
        <f>E43+H43</f>
        <v>0</v>
      </c>
      <c r="K43" s="341">
        <f>I43+J43</f>
        <v>3148</v>
      </c>
      <c r="L43" s="96" t="s">
        <v>7</v>
      </c>
      <c r="M43" s="126"/>
      <c r="N43" s="1309"/>
      <c r="O43" s="1309"/>
      <c r="P43" s="1304"/>
      <c r="Q43" s="1304"/>
      <c r="R43" s="210"/>
      <c r="S43" s="210"/>
      <c r="T43" s="1328"/>
    </row>
    <row r="44" spans="1:20" x14ac:dyDescent="0.2">
      <c r="A44" s="1328"/>
      <c r="B44" s="570">
        <f t="shared" si="0"/>
        <v>34</v>
      </c>
      <c r="C44" s="1362" t="s">
        <v>958</v>
      </c>
      <c r="D44" s="96"/>
      <c r="E44" s="96"/>
      <c r="F44" s="96">
        <f>D44+E44</f>
        <v>0</v>
      </c>
      <c r="G44" s="96"/>
      <c r="H44" s="96"/>
      <c r="I44" s="96"/>
      <c r="J44" s="96"/>
      <c r="K44" s="341"/>
      <c r="L44" s="96"/>
      <c r="M44" s="126"/>
      <c r="N44" s="1309"/>
      <c r="O44" s="1309"/>
      <c r="P44" s="1304"/>
      <c r="Q44" s="1304"/>
      <c r="R44" s="210"/>
      <c r="S44" s="210"/>
      <c r="T44" s="1328"/>
    </row>
    <row r="45" spans="1:20" x14ac:dyDescent="0.2">
      <c r="A45" s="1328"/>
      <c r="B45" s="570">
        <f t="shared" si="0"/>
        <v>35</v>
      </c>
      <c r="C45" s="96" t="s">
        <v>685</v>
      </c>
      <c r="D45" s="96"/>
      <c r="E45" s="96"/>
      <c r="F45" s="96"/>
      <c r="G45" s="96"/>
      <c r="H45" s="96"/>
      <c r="I45" s="96"/>
      <c r="J45" s="96"/>
      <c r="K45" s="341"/>
      <c r="L45" s="96" t="s">
        <v>8</v>
      </c>
      <c r="M45" s="126"/>
      <c r="N45" s="1309"/>
      <c r="O45" s="1304"/>
      <c r="P45" s="1304"/>
      <c r="Q45" s="1304"/>
      <c r="R45" s="210"/>
      <c r="S45" s="210"/>
      <c r="T45" s="1328"/>
    </row>
    <row r="46" spans="1:20" x14ac:dyDescent="0.2">
      <c r="A46" s="1328"/>
      <c r="B46" s="570">
        <f t="shared" si="0"/>
        <v>36</v>
      </c>
      <c r="C46" s="96" t="s">
        <v>686</v>
      </c>
      <c r="D46" s="1302"/>
      <c r="E46" s="1302"/>
      <c r="F46" s="1302"/>
      <c r="G46" s="1302"/>
      <c r="H46" s="1302"/>
      <c r="I46" s="1302"/>
      <c r="J46" s="1302"/>
      <c r="K46" s="375"/>
      <c r="L46" s="96" t="s">
        <v>9</v>
      </c>
      <c r="M46" s="126"/>
      <c r="N46" s="1309"/>
      <c r="O46" s="1304"/>
      <c r="P46" s="1304"/>
      <c r="Q46" s="1304"/>
      <c r="R46" s="210"/>
      <c r="S46" s="210"/>
      <c r="T46" s="1328"/>
    </row>
    <row r="47" spans="1:20" x14ac:dyDescent="0.2">
      <c r="A47" s="1328"/>
      <c r="B47" s="570">
        <f t="shared" si="0"/>
        <v>37</v>
      </c>
      <c r="C47" s="96" t="s">
        <v>211</v>
      </c>
      <c r="D47" s="96"/>
      <c r="E47" s="96"/>
      <c r="F47" s="96"/>
      <c r="G47" s="96"/>
      <c r="H47" s="96"/>
      <c r="I47" s="96"/>
      <c r="J47" s="96"/>
      <c r="K47" s="341"/>
      <c r="L47" s="96" t="s">
        <v>10</v>
      </c>
      <c r="M47" s="124"/>
      <c r="N47" s="1304"/>
      <c r="O47" s="1304"/>
      <c r="P47" s="1304"/>
      <c r="Q47" s="1304"/>
      <c r="R47" s="210"/>
      <c r="S47" s="210"/>
      <c r="T47" s="1328"/>
    </row>
    <row r="48" spans="1:20" x14ac:dyDescent="0.2">
      <c r="A48" s="1328"/>
      <c r="B48" s="570">
        <f t="shared" si="0"/>
        <v>38</v>
      </c>
      <c r="C48" s="1362" t="s">
        <v>212</v>
      </c>
      <c r="D48" s="96">
        <f>M24-(D34+D43+D44)</f>
        <v>67895</v>
      </c>
      <c r="E48" s="96">
        <f>N24-(E34+E43+E44)</f>
        <v>110188</v>
      </c>
      <c r="F48" s="96">
        <f>O24-(F34+F43+F44)</f>
        <v>178083</v>
      </c>
      <c r="G48" s="96">
        <f t="shared" ref="G48:K48" si="13">P24-(G34+G43+G44)</f>
        <v>-53723</v>
      </c>
      <c r="H48" s="96">
        <f t="shared" si="13"/>
        <v>47190</v>
      </c>
      <c r="I48" s="96">
        <f t="shared" si="13"/>
        <v>14172</v>
      </c>
      <c r="J48" s="96">
        <f t="shared" si="13"/>
        <v>157378</v>
      </c>
      <c r="K48" s="341">
        <f t="shared" si="13"/>
        <v>171550</v>
      </c>
      <c r="L48" s="96" t="s">
        <v>11</v>
      </c>
      <c r="M48" s="124"/>
      <c r="N48" s="1304"/>
      <c r="O48" s="1304"/>
      <c r="P48" s="1304"/>
      <c r="Q48" s="1304"/>
      <c r="R48" s="210"/>
      <c r="S48" s="210"/>
      <c r="T48" s="1328"/>
    </row>
    <row r="49" spans="1:20" x14ac:dyDescent="0.2">
      <c r="A49" s="1328"/>
      <c r="B49" s="570">
        <f t="shared" si="0"/>
        <v>39</v>
      </c>
      <c r="C49" s="1362" t="s">
        <v>213</v>
      </c>
      <c r="D49" s="96">
        <f>M33-D33</f>
        <v>2500</v>
      </c>
      <c r="E49" s="96">
        <f>N33-E33</f>
        <v>2500</v>
      </c>
      <c r="F49" s="96">
        <f>O33-F33</f>
        <v>5000</v>
      </c>
      <c r="G49" s="96">
        <f t="shared" ref="G49:K49" si="14">P33-G33</f>
        <v>-1077</v>
      </c>
      <c r="H49" s="96">
        <f t="shared" si="14"/>
        <v>88</v>
      </c>
      <c r="I49" s="96">
        <f t="shared" si="14"/>
        <v>1423</v>
      </c>
      <c r="J49" s="96">
        <f t="shared" si="14"/>
        <v>2588</v>
      </c>
      <c r="K49" s="341">
        <f t="shared" si="14"/>
        <v>4011</v>
      </c>
      <c r="L49" s="96" t="s">
        <v>12</v>
      </c>
      <c r="M49" s="124"/>
      <c r="N49" s="1304"/>
      <c r="O49" s="1304"/>
      <c r="P49" s="1304"/>
      <c r="Q49" s="1304"/>
      <c r="R49" s="210"/>
      <c r="S49" s="210"/>
      <c r="T49" s="1328"/>
    </row>
    <row r="50" spans="1:20" x14ac:dyDescent="0.2">
      <c r="A50" s="1328"/>
      <c r="B50" s="570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41"/>
      <c r="L50" s="96" t="s">
        <v>13</v>
      </c>
      <c r="M50" s="124"/>
      <c r="N50" s="1304"/>
      <c r="O50" s="1304"/>
      <c r="P50" s="1304"/>
      <c r="Q50" s="1304"/>
      <c r="R50" s="210"/>
      <c r="S50" s="210"/>
      <c r="T50" s="1328"/>
    </row>
    <row r="51" spans="1:20" x14ac:dyDescent="0.2">
      <c r="A51" s="1328"/>
      <c r="B51" s="570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41"/>
      <c r="L51" s="96" t="s">
        <v>14</v>
      </c>
      <c r="M51" s="124"/>
      <c r="N51" s="1304"/>
      <c r="O51" s="1304"/>
      <c r="P51" s="1304"/>
      <c r="Q51" s="1304"/>
      <c r="R51" s="210"/>
      <c r="S51" s="210"/>
      <c r="T51" s="1328"/>
    </row>
    <row r="52" spans="1:20" x14ac:dyDescent="0.2">
      <c r="A52" s="1328"/>
      <c r="B52" s="570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41"/>
      <c r="L52" s="96" t="s">
        <v>15</v>
      </c>
      <c r="M52" s="124"/>
      <c r="N52" s="1304"/>
      <c r="O52" s="1304"/>
      <c r="P52" s="1304"/>
      <c r="Q52" s="1304"/>
      <c r="R52" s="210"/>
      <c r="S52" s="210"/>
      <c r="T52" s="1328"/>
    </row>
    <row r="53" spans="1:20" ht="12" thickBot="1" x14ac:dyDescent="0.25">
      <c r="A53" s="1328"/>
      <c r="B53" s="570">
        <f t="shared" si="0"/>
        <v>43</v>
      </c>
      <c r="C53" s="128" t="s">
        <v>448</v>
      </c>
      <c r="D53" s="126">
        <f>SUM(D39:D51)</f>
        <v>73543</v>
      </c>
      <c r="E53" s="126">
        <f>SUM(E39:E51)</f>
        <v>112688</v>
      </c>
      <c r="F53" s="126">
        <f>SUM(F39:F51)</f>
        <v>186231</v>
      </c>
      <c r="G53" s="126">
        <f t="shared" ref="G53:K53" si="15">SUM(G39:G51)</f>
        <v>-54800</v>
      </c>
      <c r="H53" s="126">
        <f t="shared" si="15"/>
        <v>47278</v>
      </c>
      <c r="I53" s="126">
        <f t="shared" si="15"/>
        <v>18743</v>
      </c>
      <c r="J53" s="126">
        <f t="shared" si="15"/>
        <v>159966</v>
      </c>
      <c r="K53" s="340">
        <f t="shared" si="15"/>
        <v>178709</v>
      </c>
      <c r="L53" s="1302" t="s">
        <v>441</v>
      </c>
      <c r="M53" s="126">
        <f>SUM(M39:M52)</f>
        <v>0</v>
      </c>
      <c r="N53" s="1309">
        <f>SUM(N39:N52)</f>
        <v>0</v>
      </c>
      <c r="O53" s="1309">
        <f>SUM(O39:O52)</f>
        <v>0</v>
      </c>
      <c r="P53" s="1309">
        <f t="shared" ref="P53:T53" si="16">SUM(P39:P52)</f>
        <v>0</v>
      </c>
      <c r="Q53" s="1309">
        <f t="shared" si="16"/>
        <v>0</v>
      </c>
      <c r="R53" s="1309">
        <f t="shared" si="16"/>
        <v>0</v>
      </c>
      <c r="S53" s="1309">
        <f t="shared" si="16"/>
        <v>0</v>
      </c>
      <c r="T53" s="1397">
        <f t="shared" si="16"/>
        <v>0</v>
      </c>
    </row>
    <row r="54" spans="1:20" ht="12" thickBot="1" x14ac:dyDescent="0.25">
      <c r="B54" s="697">
        <f t="shared" si="0"/>
        <v>44</v>
      </c>
      <c r="C54" s="696" t="s">
        <v>443</v>
      </c>
      <c r="D54" s="689">
        <f>D34+D53</f>
        <v>144043</v>
      </c>
      <c r="E54" s="689">
        <f>E34+E53</f>
        <v>146796</v>
      </c>
      <c r="F54" s="689">
        <f>F34+F53</f>
        <v>290839</v>
      </c>
      <c r="G54" s="689">
        <f>G53+G34</f>
        <v>-50970</v>
      </c>
      <c r="H54" s="689">
        <f t="shared" ref="H54:K54" si="17">H53+H34</f>
        <v>54125</v>
      </c>
      <c r="I54" s="689">
        <f t="shared" si="17"/>
        <v>93073</v>
      </c>
      <c r="J54" s="689">
        <f t="shared" si="17"/>
        <v>200921</v>
      </c>
      <c r="K54" s="689">
        <f t="shared" si="17"/>
        <v>293994</v>
      </c>
      <c r="L54" s="1396" t="s">
        <v>442</v>
      </c>
      <c r="M54" s="689">
        <f>M34+M53</f>
        <v>144043</v>
      </c>
      <c r="N54" s="695">
        <f>N34+N53</f>
        <v>146796</v>
      </c>
      <c r="O54" s="695">
        <f>O34+O53</f>
        <v>290839</v>
      </c>
      <c r="P54" s="695">
        <f>P34+P53</f>
        <v>-50970</v>
      </c>
      <c r="Q54" s="695">
        <f t="shared" ref="Q54:T54" si="18">Q34+Q53</f>
        <v>54125</v>
      </c>
      <c r="R54" s="695">
        <f t="shared" si="18"/>
        <v>93073</v>
      </c>
      <c r="S54" s="695">
        <f t="shared" si="18"/>
        <v>200921</v>
      </c>
      <c r="T54" s="695">
        <f t="shared" si="18"/>
        <v>293994</v>
      </c>
    </row>
    <row r="55" spans="1:20" x14ac:dyDescent="0.2">
      <c r="C55" s="130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33"/>
      <c r="O55" s="133"/>
    </row>
    <row r="60" spans="1:20" x14ac:dyDescent="0.2">
      <c r="T60" s="210"/>
    </row>
  </sheetData>
  <mergeCells count="16">
    <mergeCell ref="C1:T1"/>
    <mergeCell ref="C4:T4"/>
    <mergeCell ref="C5:T5"/>
    <mergeCell ref="C6:T6"/>
    <mergeCell ref="C7:T7"/>
    <mergeCell ref="P9:Q9"/>
    <mergeCell ref="R9:T9"/>
    <mergeCell ref="D8:K8"/>
    <mergeCell ref="M8:T8"/>
    <mergeCell ref="B8:B10"/>
    <mergeCell ref="C8:C9"/>
    <mergeCell ref="L8:L9"/>
    <mergeCell ref="D9:F9"/>
    <mergeCell ref="M9:O9"/>
    <mergeCell ref="G9:H9"/>
    <mergeCell ref="I9:K9"/>
  </mergeCells>
  <pageMargins left="0.70866141732283472" right="0.70866141732283472" top="0.74803149606299213" bottom="0.74803149606299213" header="0.31496062992125984" footer="0.31496062992125984"/>
  <pageSetup paperSize="8" scale="73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6"/>
  <sheetViews>
    <sheetView topLeftCell="E2" zoomScale="120" workbookViewId="0">
      <selection activeCell="R58" sqref="R58"/>
    </sheetView>
  </sheetViews>
  <sheetFormatPr defaultColWidth="9.140625" defaultRowHeight="11.25" x14ac:dyDescent="0.2"/>
  <cols>
    <col min="1" max="1" width="2.5703125" style="10" customWidth="1"/>
    <col min="2" max="2" width="4.85546875" style="118" customWidth="1"/>
    <col min="3" max="3" width="36.7109375" style="118" customWidth="1"/>
    <col min="4" max="8" width="10" style="119" customWidth="1"/>
    <col min="9" max="9" width="10.140625" style="119" customWidth="1"/>
    <col min="10" max="11" width="10" style="119" customWidth="1"/>
    <col min="12" max="12" width="38" style="119" customWidth="1"/>
    <col min="13" max="13" width="10" style="119" customWidth="1"/>
    <col min="14" max="15" width="10" style="209" customWidth="1"/>
    <col min="16" max="16" width="10" style="118" customWidth="1"/>
    <col min="17" max="20" width="10" style="10" customWidth="1"/>
    <col min="21" max="16384" width="9.140625" style="10"/>
  </cols>
  <sheetData>
    <row r="1" spans="1:20" ht="12.75" hidden="1" customHeight="1" x14ac:dyDescent="0.2">
      <c r="C1" s="1646" t="s">
        <v>1395</v>
      </c>
      <c r="D1" s="1495"/>
      <c r="E1" s="1495"/>
      <c r="F1" s="1495"/>
      <c r="G1" s="1495"/>
      <c r="H1" s="1495"/>
      <c r="I1" s="1495"/>
      <c r="J1" s="1495"/>
      <c r="K1" s="1495"/>
      <c r="L1" s="1495"/>
      <c r="M1" s="1495"/>
      <c r="N1" s="1495"/>
      <c r="O1" s="1495"/>
    </row>
    <row r="2" spans="1:20" x14ac:dyDescent="0.2">
      <c r="O2" s="258"/>
    </row>
    <row r="3" spans="1:20" x14ac:dyDescent="0.2">
      <c r="B3" s="1648" t="s">
        <v>1424</v>
      </c>
      <c r="C3" s="1648"/>
      <c r="D3" s="1648"/>
      <c r="E3" s="1648"/>
      <c r="F3" s="1648"/>
      <c r="G3" s="1648"/>
      <c r="H3" s="1648"/>
      <c r="I3" s="1648"/>
      <c r="J3" s="1648"/>
      <c r="K3" s="1648"/>
      <c r="L3" s="1648"/>
      <c r="M3" s="1648"/>
      <c r="N3" s="1648"/>
      <c r="O3" s="1648"/>
      <c r="P3" s="1648"/>
      <c r="Q3" s="1648"/>
      <c r="R3" s="1648"/>
      <c r="S3" s="1648"/>
      <c r="T3" s="1648"/>
    </row>
    <row r="4" spans="1:20" s="99" customFormat="1" ht="12.75" customHeight="1" x14ac:dyDescent="0.2">
      <c r="B4" s="1406" t="s">
        <v>77</v>
      </c>
      <c r="C4" s="1406"/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406"/>
      <c r="P4" s="1406"/>
      <c r="Q4" s="1406"/>
      <c r="R4" s="1406"/>
      <c r="S4" s="1406"/>
      <c r="T4" s="1406"/>
    </row>
    <row r="5" spans="1:20" s="99" customFormat="1" ht="12.75" customHeight="1" x14ac:dyDescent="0.2">
      <c r="B5" s="1535" t="s">
        <v>714</v>
      </c>
      <c r="C5" s="1535"/>
      <c r="D5" s="1535"/>
      <c r="E5" s="1535"/>
      <c r="F5" s="1535"/>
      <c r="G5" s="1535"/>
      <c r="H5" s="1535"/>
      <c r="I5" s="1535"/>
      <c r="J5" s="1535"/>
      <c r="K5" s="1535"/>
      <c r="L5" s="1535"/>
      <c r="M5" s="1535"/>
      <c r="N5" s="1535"/>
      <c r="O5" s="1535"/>
      <c r="P5" s="1535"/>
      <c r="Q5" s="1535"/>
      <c r="R5" s="1535"/>
      <c r="S5" s="1535"/>
      <c r="T5" s="1535"/>
    </row>
    <row r="6" spans="1:20" s="99" customFormat="1" ht="12.75" customHeight="1" x14ac:dyDescent="0.2">
      <c r="B6" s="1406" t="s">
        <v>1136</v>
      </c>
      <c r="C6" s="1406"/>
      <c r="D6" s="1406"/>
      <c r="E6" s="1406"/>
      <c r="F6" s="1406"/>
      <c r="G6" s="1406"/>
      <c r="H6" s="1406"/>
      <c r="I6" s="1406"/>
      <c r="J6" s="1406"/>
      <c r="K6" s="1406"/>
      <c r="L6" s="1406"/>
      <c r="M6" s="1406"/>
      <c r="N6" s="1406"/>
      <c r="O6" s="1406"/>
      <c r="P6" s="1406"/>
      <c r="Q6" s="1406"/>
      <c r="R6" s="1406"/>
      <c r="S6" s="1406"/>
      <c r="T6" s="1406"/>
    </row>
    <row r="7" spans="1:20" s="99" customFormat="1" x14ac:dyDescent="0.2">
      <c r="B7" s="121"/>
      <c r="C7" s="1647" t="s">
        <v>304</v>
      </c>
      <c r="D7" s="1647"/>
      <c r="E7" s="1647"/>
      <c r="F7" s="1647"/>
      <c r="G7" s="1647"/>
      <c r="H7" s="1647"/>
      <c r="I7" s="1647"/>
      <c r="J7" s="1647"/>
      <c r="K7" s="1647"/>
      <c r="L7" s="1647"/>
      <c r="M7" s="1647"/>
      <c r="N7" s="1647"/>
      <c r="O7" s="1647"/>
      <c r="P7" s="1647"/>
      <c r="Q7" s="1647"/>
      <c r="R7" s="1647"/>
      <c r="S7" s="1647"/>
      <c r="T7" s="1647"/>
    </row>
    <row r="8" spans="1:20" s="99" customFormat="1" ht="12.75" customHeight="1" x14ac:dyDescent="0.2">
      <c r="B8" s="1399" t="s">
        <v>56</v>
      </c>
      <c r="C8" s="1401" t="s">
        <v>57</v>
      </c>
      <c r="D8" s="1401" t="s">
        <v>58</v>
      </c>
      <c r="E8" s="1401"/>
      <c r="F8" s="1401"/>
      <c r="G8" s="1401"/>
      <c r="H8" s="1401"/>
      <c r="I8" s="1401"/>
      <c r="J8" s="1401"/>
      <c r="K8" s="1401"/>
      <c r="L8" s="1402" t="s">
        <v>59</v>
      </c>
      <c r="M8" s="1404" t="s">
        <v>60</v>
      </c>
      <c r="N8" s="1404"/>
      <c r="O8" s="1404"/>
      <c r="P8" s="1404"/>
      <c r="Q8" s="1404"/>
      <c r="R8" s="1404"/>
      <c r="S8" s="1404"/>
      <c r="T8" s="1404"/>
    </row>
    <row r="9" spans="1:20" s="99" customFormat="1" ht="12.75" customHeight="1" x14ac:dyDescent="0.2">
      <c r="B9" s="1399"/>
      <c r="C9" s="1401"/>
      <c r="D9" s="1403" t="s">
        <v>1419</v>
      </c>
      <c r="E9" s="1403"/>
      <c r="F9" s="1403"/>
      <c r="G9" s="1403" t="s">
        <v>1400</v>
      </c>
      <c r="H9" s="1403"/>
      <c r="I9" s="1403" t="s">
        <v>1416</v>
      </c>
      <c r="J9" s="1403"/>
      <c r="K9" s="1403"/>
      <c r="L9" s="1402"/>
      <c r="M9" s="1403" t="s">
        <v>1419</v>
      </c>
      <c r="N9" s="1403"/>
      <c r="O9" s="1403"/>
      <c r="P9" s="1403" t="s">
        <v>1400</v>
      </c>
      <c r="Q9" s="1403"/>
      <c r="R9" s="1403" t="s">
        <v>1412</v>
      </c>
      <c r="S9" s="1403"/>
      <c r="T9" s="1403"/>
    </row>
    <row r="10" spans="1:20" s="100" customFormat="1" ht="36.6" customHeight="1" x14ac:dyDescent="0.2">
      <c r="B10" s="1399"/>
      <c r="C10" s="1347" t="s">
        <v>61</v>
      </c>
      <c r="D10" s="817" t="s">
        <v>62</v>
      </c>
      <c r="E10" s="817" t="s">
        <v>63</v>
      </c>
      <c r="F10" s="817" t="s">
        <v>64</v>
      </c>
      <c r="G10" s="817" t="s">
        <v>62</v>
      </c>
      <c r="H10" s="817" t="s">
        <v>63</v>
      </c>
      <c r="I10" s="817" t="s">
        <v>62</v>
      </c>
      <c r="J10" s="817" t="s">
        <v>63</v>
      </c>
      <c r="K10" s="817" t="s">
        <v>64</v>
      </c>
      <c r="L10" s="1348" t="s">
        <v>65</v>
      </c>
      <c r="M10" s="817" t="s">
        <v>62</v>
      </c>
      <c r="N10" s="1381" t="s">
        <v>63</v>
      </c>
      <c r="O10" s="1381" t="s">
        <v>64</v>
      </c>
      <c r="P10" s="817" t="s">
        <v>62</v>
      </c>
      <c r="Q10" s="817" t="s">
        <v>63</v>
      </c>
      <c r="R10" s="817" t="s">
        <v>62</v>
      </c>
      <c r="S10" s="817" t="s">
        <v>63</v>
      </c>
      <c r="T10" s="817" t="s">
        <v>64</v>
      </c>
    </row>
    <row r="11" spans="1:20" ht="11.45" customHeight="1" x14ac:dyDescent="0.2">
      <c r="A11" s="1328"/>
      <c r="B11" s="570">
        <v>1</v>
      </c>
      <c r="C11" s="1349" t="s">
        <v>24</v>
      </c>
      <c r="D11" s="126"/>
      <c r="E11" s="126"/>
      <c r="F11" s="126"/>
      <c r="G11" s="126"/>
      <c r="H11" s="126"/>
      <c r="I11" s="126"/>
      <c r="J11" s="126"/>
      <c r="K11" s="1366"/>
      <c r="L11" s="1302" t="s">
        <v>25</v>
      </c>
      <c r="M11" s="126"/>
      <c r="N11" s="1309"/>
      <c r="O11" s="1304"/>
      <c r="P11" s="210"/>
      <c r="Q11" s="210"/>
      <c r="R11" s="210"/>
      <c r="S11" s="210"/>
      <c r="T11" s="1346"/>
    </row>
    <row r="12" spans="1:20" x14ac:dyDescent="0.2">
      <c r="A12" s="1328"/>
      <c r="B12" s="570">
        <f t="shared" ref="B12:B54" si="0">B11+1</f>
        <v>2</v>
      </c>
      <c r="C12" s="123" t="s">
        <v>35</v>
      </c>
      <c r="D12" s="96"/>
      <c r="E12" s="96"/>
      <c r="F12" s="96"/>
      <c r="G12" s="96"/>
      <c r="H12" s="96"/>
      <c r="I12" s="96"/>
      <c r="J12" s="96"/>
      <c r="K12" s="341"/>
      <c r="L12" s="96" t="s">
        <v>215</v>
      </c>
      <c r="M12" s="204">
        <v>81643</v>
      </c>
      <c r="N12" s="204">
        <v>172204</v>
      </c>
      <c r="O12" s="1350">
        <f>SUM(M12:N12)</f>
        <v>253847</v>
      </c>
      <c r="P12" s="210">
        <v>4000</v>
      </c>
      <c r="Q12" s="210">
        <v>-3924</v>
      </c>
      <c r="R12" s="1304">
        <f>M12+P12</f>
        <v>85643</v>
      </c>
      <c r="S12" s="1304">
        <f>N12+Q12</f>
        <v>168280</v>
      </c>
      <c r="T12" s="1320">
        <f>R12+S12</f>
        <v>253923</v>
      </c>
    </row>
    <row r="13" spans="1:20" x14ac:dyDescent="0.2">
      <c r="A13" s="1328"/>
      <c r="B13" s="570">
        <f t="shared" si="0"/>
        <v>3</v>
      </c>
      <c r="C13" s="123" t="s">
        <v>36</v>
      </c>
      <c r="D13" s="96"/>
      <c r="E13" s="96"/>
      <c r="F13" s="96"/>
      <c r="G13" s="96"/>
      <c r="H13" s="96"/>
      <c r="I13" s="96"/>
      <c r="J13" s="96"/>
      <c r="K13" s="341"/>
      <c r="L13" s="96" t="s">
        <v>216</v>
      </c>
      <c r="M13" s="204">
        <v>13321</v>
      </c>
      <c r="N13" s="204">
        <v>34447</v>
      </c>
      <c r="O13" s="1350">
        <f>SUM(M13:N13)</f>
        <v>47768</v>
      </c>
      <c r="P13" s="210">
        <v>5101</v>
      </c>
      <c r="Q13" s="210">
        <v>-1717</v>
      </c>
      <c r="R13" s="1304">
        <f t="shared" ref="R13:R14" si="1">M13+P13</f>
        <v>18422</v>
      </c>
      <c r="S13" s="1304">
        <f t="shared" ref="S13:S14" si="2">N13+Q13</f>
        <v>32730</v>
      </c>
      <c r="T13" s="1320">
        <f t="shared" ref="T13:T14" si="3">R13+S13</f>
        <v>51152</v>
      </c>
    </row>
    <row r="14" spans="1:20" x14ac:dyDescent="0.2">
      <c r="A14" s="1328"/>
      <c r="B14" s="570">
        <f t="shared" si="0"/>
        <v>4</v>
      </c>
      <c r="C14" s="123" t="s">
        <v>192</v>
      </c>
      <c r="D14" s="204">
        <f>'tám, végl. pe.átv  '!C71</f>
        <v>20865</v>
      </c>
      <c r="E14" s="204">
        <f>'tám, végl. pe.átv  '!D71</f>
        <v>1066</v>
      </c>
      <c r="F14" s="204">
        <f>SUM(D14:E14)</f>
        <v>21931</v>
      </c>
      <c r="G14" s="204"/>
      <c r="H14" s="204">
        <v>355</v>
      </c>
      <c r="I14" s="204">
        <f>D14+G14</f>
        <v>20865</v>
      </c>
      <c r="J14" s="204">
        <f>E14+H14</f>
        <v>1421</v>
      </c>
      <c r="K14" s="353">
        <f>I14+J14</f>
        <v>22286</v>
      </c>
      <c r="L14" s="96" t="s">
        <v>217</v>
      </c>
      <c r="M14" s="204">
        <v>68346</v>
      </c>
      <c r="N14" s="204">
        <v>79905</v>
      </c>
      <c r="O14" s="1350">
        <f>SUM(M14:N14)</f>
        <v>148251</v>
      </c>
      <c r="P14" s="210">
        <v>-300</v>
      </c>
      <c r="Q14" s="210">
        <v>1417</v>
      </c>
      <c r="R14" s="1304">
        <f t="shared" si="1"/>
        <v>68046</v>
      </c>
      <c r="S14" s="1304">
        <f t="shared" si="2"/>
        <v>81322</v>
      </c>
      <c r="T14" s="1320">
        <f t="shared" si="3"/>
        <v>149368</v>
      </c>
    </row>
    <row r="15" spans="1:20" ht="12" customHeight="1" x14ac:dyDescent="0.2">
      <c r="A15" s="1328"/>
      <c r="B15" s="570">
        <f t="shared" si="0"/>
        <v>5</v>
      </c>
      <c r="C15" s="1369"/>
      <c r="D15" s="96"/>
      <c r="E15" s="96"/>
      <c r="F15" s="96"/>
      <c r="G15" s="96"/>
      <c r="H15" s="96"/>
      <c r="I15" s="96"/>
      <c r="J15" s="96"/>
      <c r="K15" s="341"/>
      <c r="L15" s="96"/>
      <c r="M15" s="1379"/>
      <c r="N15" s="1379"/>
      <c r="O15" s="204"/>
      <c r="P15" s="210"/>
      <c r="Q15" s="210"/>
      <c r="R15" s="210"/>
      <c r="S15" s="210"/>
      <c r="T15" s="1328"/>
    </row>
    <row r="16" spans="1:20" x14ac:dyDescent="0.2">
      <c r="A16" s="1328"/>
      <c r="B16" s="570">
        <f t="shared" si="0"/>
        <v>6</v>
      </c>
      <c r="C16" s="123" t="s">
        <v>38</v>
      </c>
      <c r="D16" s="96"/>
      <c r="E16" s="96"/>
      <c r="F16" s="96"/>
      <c r="G16" s="96"/>
      <c r="H16" s="96"/>
      <c r="I16" s="96"/>
      <c r="J16" s="96"/>
      <c r="K16" s="341"/>
      <c r="L16" s="96" t="s">
        <v>28</v>
      </c>
      <c r="M16" s="124"/>
      <c r="N16" s="1304"/>
      <c r="O16" s="1304"/>
      <c r="P16" s="210"/>
      <c r="Q16" s="210"/>
      <c r="R16" s="210"/>
      <c r="S16" s="210"/>
      <c r="T16" s="1328"/>
    </row>
    <row r="17" spans="1:20" x14ac:dyDescent="0.2">
      <c r="A17" s="1328"/>
      <c r="B17" s="570">
        <f t="shared" si="0"/>
        <v>7</v>
      </c>
      <c r="C17" s="123"/>
      <c r="D17" s="96"/>
      <c r="E17" s="96"/>
      <c r="F17" s="96"/>
      <c r="G17" s="96"/>
      <c r="H17" s="96"/>
      <c r="I17" s="96"/>
      <c r="J17" s="96"/>
      <c r="K17" s="341"/>
      <c r="L17" s="96" t="s">
        <v>30</v>
      </c>
      <c r="M17" s="124"/>
      <c r="N17" s="1304"/>
      <c r="O17" s="1304"/>
      <c r="P17" s="210"/>
      <c r="Q17" s="210"/>
      <c r="R17" s="210"/>
      <c r="S17" s="210"/>
      <c r="T17" s="1328"/>
    </row>
    <row r="18" spans="1:20" x14ac:dyDescent="0.2">
      <c r="A18" s="1328"/>
      <c r="B18" s="570">
        <f t="shared" si="0"/>
        <v>8</v>
      </c>
      <c r="C18" s="123" t="s">
        <v>39</v>
      </c>
      <c r="D18" s="96"/>
      <c r="E18" s="96"/>
      <c r="F18" s="96"/>
      <c r="G18" s="96"/>
      <c r="H18" s="96"/>
      <c r="I18" s="96"/>
      <c r="J18" s="96"/>
      <c r="K18" s="341"/>
      <c r="L18" s="96" t="s">
        <v>446</v>
      </c>
      <c r="M18" s="124"/>
      <c r="N18" s="1304"/>
      <c r="O18" s="1304"/>
      <c r="P18" s="210"/>
      <c r="Q18" s="210"/>
      <c r="R18" s="210"/>
      <c r="S18" s="210"/>
      <c r="T18" s="1328"/>
    </row>
    <row r="19" spans="1:20" x14ac:dyDescent="0.2">
      <c r="A19" s="1328"/>
      <c r="B19" s="570">
        <f t="shared" si="0"/>
        <v>9</v>
      </c>
      <c r="C19" s="125" t="s">
        <v>40</v>
      </c>
      <c r="D19" s="1368"/>
      <c r="E19" s="1368"/>
      <c r="F19" s="1368"/>
      <c r="G19" s="1368"/>
      <c r="H19" s="1368"/>
      <c r="I19" s="1368"/>
      <c r="J19" s="1368"/>
      <c r="K19" s="1376"/>
      <c r="L19" s="96" t="s">
        <v>445</v>
      </c>
      <c r="M19" s="124"/>
      <c r="N19" s="1304"/>
      <c r="O19" s="1304"/>
      <c r="P19" s="210"/>
      <c r="Q19" s="210"/>
      <c r="R19" s="210"/>
      <c r="S19" s="210"/>
      <c r="T19" s="1328"/>
    </row>
    <row r="20" spans="1:20" x14ac:dyDescent="0.2">
      <c r="A20" s="1328"/>
      <c r="B20" s="570">
        <f t="shared" si="0"/>
        <v>10</v>
      </c>
      <c r="C20" s="123" t="s">
        <v>194</v>
      </c>
      <c r="D20" s="1350">
        <v>18399</v>
      </c>
      <c r="E20" s="1350">
        <v>87197</v>
      </c>
      <c r="F20" s="1368">
        <f>SUM(D20:E20)</f>
        <v>105596</v>
      </c>
      <c r="G20" s="1368">
        <v>6500</v>
      </c>
      <c r="H20" s="1368">
        <v>-5383</v>
      </c>
      <c r="I20" s="1368">
        <f>D20+G20</f>
        <v>24899</v>
      </c>
      <c r="J20" s="1368">
        <f>E20+H20</f>
        <v>81814</v>
      </c>
      <c r="K20" s="1376">
        <f>I20+J20</f>
        <v>106713</v>
      </c>
      <c r="L20" s="96" t="s">
        <v>926</v>
      </c>
      <c r="M20" s="124"/>
      <c r="N20" s="1304"/>
      <c r="O20" s="1304"/>
      <c r="P20" s="210"/>
      <c r="Q20" s="210"/>
      <c r="R20" s="210"/>
      <c r="S20" s="210"/>
      <c r="T20" s="1328"/>
    </row>
    <row r="21" spans="1:20" x14ac:dyDescent="0.2">
      <c r="A21" s="1328"/>
      <c r="B21" s="570">
        <f t="shared" si="0"/>
        <v>11</v>
      </c>
      <c r="C21" s="1303"/>
      <c r="D21" s="1368"/>
      <c r="E21" s="1368"/>
      <c r="F21" s="1368"/>
      <c r="G21" s="1368"/>
      <c r="H21" s="1368"/>
      <c r="I21" s="1368"/>
      <c r="J21" s="1368"/>
      <c r="K21" s="1376"/>
      <c r="L21" s="96" t="s">
        <v>438</v>
      </c>
      <c r="M21" s="124"/>
      <c r="N21" s="1304"/>
      <c r="O21" s="1304"/>
      <c r="P21" s="210"/>
      <c r="Q21" s="210"/>
      <c r="R21" s="210"/>
      <c r="S21" s="210"/>
      <c r="T21" s="1328"/>
    </row>
    <row r="22" spans="1:20" s="101" customFormat="1" x14ac:dyDescent="0.2">
      <c r="A22" s="1329"/>
      <c r="B22" s="570">
        <f t="shared" si="0"/>
        <v>12</v>
      </c>
      <c r="C22" s="1303" t="s">
        <v>42</v>
      </c>
      <c r="D22" s="1368"/>
      <c r="E22" s="1368"/>
      <c r="F22" s="1368"/>
      <c r="G22" s="1368"/>
      <c r="H22" s="1368"/>
      <c r="I22" s="1368"/>
      <c r="J22" s="1368"/>
      <c r="K22" s="1376"/>
      <c r="L22" s="96" t="s">
        <v>439</v>
      </c>
      <c r="M22" s="124"/>
      <c r="N22" s="1304"/>
      <c r="O22" s="1304"/>
      <c r="P22" s="1353"/>
      <c r="Q22" s="1353"/>
      <c r="R22" s="1353"/>
      <c r="S22" s="1353"/>
      <c r="T22" s="1329"/>
    </row>
    <row r="23" spans="1:20" s="101" customFormat="1" x14ac:dyDescent="0.2">
      <c r="A23" s="1329"/>
      <c r="B23" s="570">
        <f t="shared" si="0"/>
        <v>13</v>
      </c>
      <c r="C23" s="1303" t="s">
        <v>43</v>
      </c>
      <c r="D23" s="1368"/>
      <c r="E23" s="1368"/>
      <c r="F23" s="1368"/>
      <c r="G23" s="1368"/>
      <c r="H23" s="1368"/>
      <c r="I23" s="1368"/>
      <c r="J23" s="1368"/>
      <c r="K23" s="1376"/>
      <c r="L23" s="124"/>
      <c r="M23" s="124"/>
      <c r="N23" s="1304"/>
      <c r="O23" s="1304"/>
      <c r="P23" s="1353"/>
      <c r="Q23" s="1353"/>
      <c r="R23" s="1353"/>
      <c r="S23" s="1353"/>
      <c r="T23" s="1329"/>
    </row>
    <row r="24" spans="1:20" x14ac:dyDescent="0.2">
      <c r="A24" s="1328"/>
      <c r="B24" s="570">
        <f t="shared" si="0"/>
        <v>14</v>
      </c>
      <c r="C24" s="123" t="s">
        <v>44</v>
      </c>
      <c r="D24" s="1370"/>
      <c r="E24" s="1370"/>
      <c r="F24" s="1370"/>
      <c r="G24" s="1370"/>
      <c r="H24" s="1370"/>
      <c r="I24" s="1370"/>
      <c r="J24" s="1370"/>
      <c r="K24" s="1377"/>
      <c r="L24" s="1354" t="s">
        <v>66</v>
      </c>
      <c r="M24" s="1354">
        <f>SUM(M12:M22)</f>
        <v>163310</v>
      </c>
      <c r="N24" s="1308">
        <f>SUM(N12:N22)</f>
        <v>286556</v>
      </c>
      <c r="O24" s="1308">
        <f>SUM(O12:O22)</f>
        <v>449866</v>
      </c>
      <c r="P24" s="898">
        <f>SUM(P12:P23)</f>
        <v>8801</v>
      </c>
      <c r="Q24" s="898">
        <f>SUM(Q12:Q23)</f>
        <v>-4224</v>
      </c>
      <c r="R24" s="1308">
        <f>SUM(R12:R23)</f>
        <v>172111</v>
      </c>
      <c r="S24" s="1308">
        <f>SUM(S12:S23)</f>
        <v>282332</v>
      </c>
      <c r="T24" s="1323">
        <f>SUM(T12:T23)</f>
        <v>454443</v>
      </c>
    </row>
    <row r="25" spans="1:20" x14ac:dyDescent="0.2">
      <c r="A25" s="1328"/>
      <c r="B25" s="570">
        <f t="shared" si="0"/>
        <v>15</v>
      </c>
      <c r="C25" s="123" t="s">
        <v>45</v>
      </c>
      <c r="D25" s="1368">
        <v>0</v>
      </c>
      <c r="E25" s="1368"/>
      <c r="F25" s="1368">
        <f>E25+D25</f>
        <v>0</v>
      </c>
      <c r="G25" s="1368"/>
      <c r="H25" s="1368"/>
      <c r="I25" s="1368"/>
      <c r="J25" s="1368"/>
      <c r="K25" s="1376"/>
      <c r="L25" s="124"/>
      <c r="M25" s="124"/>
      <c r="N25" s="1304"/>
      <c r="O25" s="1304"/>
      <c r="P25" s="210"/>
      <c r="Q25" s="210"/>
      <c r="R25" s="210"/>
      <c r="S25" s="210"/>
      <c r="T25" s="1328"/>
    </row>
    <row r="26" spans="1:20" x14ac:dyDescent="0.2">
      <c r="A26" s="1328"/>
      <c r="B26" s="570">
        <f t="shared" si="0"/>
        <v>16</v>
      </c>
      <c r="C26" s="123" t="s">
        <v>46</v>
      </c>
      <c r="D26" s="1302"/>
      <c r="E26" s="1302"/>
      <c r="F26" s="1302"/>
      <c r="G26" s="1302"/>
      <c r="H26" s="1302"/>
      <c r="I26" s="1302"/>
      <c r="J26" s="1302"/>
      <c r="K26" s="375"/>
      <c r="L26" s="1302" t="s">
        <v>34</v>
      </c>
      <c r="M26" s="126"/>
      <c r="N26" s="1309"/>
      <c r="O26" s="1304"/>
      <c r="P26" s="210"/>
      <c r="Q26" s="210"/>
      <c r="R26" s="210"/>
      <c r="S26" s="210"/>
      <c r="T26" s="1328"/>
    </row>
    <row r="27" spans="1:20" x14ac:dyDescent="0.2">
      <c r="A27" s="1328"/>
      <c r="B27" s="570">
        <f t="shared" si="0"/>
        <v>17</v>
      </c>
      <c r="C27" s="123" t="s">
        <v>47</v>
      </c>
      <c r="D27" s="96"/>
      <c r="E27" s="96"/>
      <c r="F27" s="96"/>
      <c r="G27" s="96"/>
      <c r="H27" s="96"/>
      <c r="I27" s="96"/>
      <c r="J27" s="96"/>
      <c r="K27" s="341"/>
      <c r="L27" s="96" t="s">
        <v>273</v>
      </c>
      <c r="M27" s="124">
        <f>'felhalm. kiad.  '!N136</f>
        <v>0</v>
      </c>
      <c r="N27" s="1304">
        <f>'felhalm. kiad.  '!Q134</f>
        <v>2380</v>
      </c>
      <c r="O27" s="1304">
        <f>SUM(M27:N27)</f>
        <v>2380</v>
      </c>
      <c r="P27" s="210">
        <v>600</v>
      </c>
      <c r="Q27" s="210">
        <v>-600</v>
      </c>
      <c r="R27" s="1304">
        <f>M27+P27</f>
        <v>600</v>
      </c>
      <c r="S27" s="1304">
        <f>N27+Q27</f>
        <v>1780</v>
      </c>
      <c r="T27" s="1320">
        <f>R27+S27</f>
        <v>2380</v>
      </c>
    </row>
    <row r="28" spans="1:20" x14ac:dyDescent="0.2">
      <c r="A28" s="1328"/>
      <c r="B28" s="570">
        <f t="shared" si="0"/>
        <v>18</v>
      </c>
      <c r="C28" s="123"/>
      <c r="D28" s="96"/>
      <c r="E28" s="96"/>
      <c r="F28" s="96"/>
      <c r="G28" s="96"/>
      <c r="H28" s="96"/>
      <c r="I28" s="96"/>
      <c r="J28" s="96"/>
      <c r="K28" s="341"/>
      <c r="L28" s="96" t="s">
        <v>31</v>
      </c>
      <c r="M28" s="124"/>
      <c r="N28" s="1304"/>
      <c r="O28" s="1304"/>
      <c r="P28" s="210"/>
      <c r="Q28" s="210"/>
      <c r="R28" s="210"/>
      <c r="S28" s="210"/>
      <c r="T28" s="1328"/>
    </row>
    <row r="29" spans="1:20" x14ac:dyDescent="0.2">
      <c r="A29" s="1328"/>
      <c r="B29" s="570">
        <f t="shared" si="0"/>
        <v>19</v>
      </c>
      <c r="C29" s="1303" t="s">
        <v>50</v>
      </c>
      <c r="D29" s="96"/>
      <c r="E29" s="96"/>
      <c r="F29" s="96"/>
      <c r="G29" s="96"/>
      <c r="H29" s="96"/>
      <c r="I29" s="96"/>
      <c r="J29" s="96"/>
      <c r="K29" s="341"/>
      <c r="L29" s="96" t="s">
        <v>32</v>
      </c>
      <c r="M29" s="124"/>
      <c r="N29" s="1304"/>
      <c r="O29" s="1304"/>
      <c r="P29" s="210"/>
      <c r="Q29" s="210"/>
      <c r="R29" s="210"/>
      <c r="S29" s="210"/>
      <c r="T29" s="1328"/>
    </row>
    <row r="30" spans="1:20" s="101" customFormat="1" x14ac:dyDescent="0.2">
      <c r="A30" s="1329"/>
      <c r="B30" s="570">
        <f t="shared" si="0"/>
        <v>20</v>
      </c>
      <c r="C30" s="1303" t="s">
        <v>48</v>
      </c>
      <c r="D30" s="96"/>
      <c r="E30" s="96"/>
      <c r="F30" s="96"/>
      <c r="G30" s="96"/>
      <c r="H30" s="96"/>
      <c r="I30" s="96"/>
      <c r="J30" s="96"/>
      <c r="K30" s="341"/>
      <c r="L30" s="96" t="s">
        <v>447</v>
      </c>
      <c r="M30" s="124"/>
      <c r="N30" s="1304"/>
      <c r="O30" s="1304"/>
      <c r="P30" s="1353"/>
      <c r="Q30" s="1353"/>
      <c r="R30" s="1353"/>
      <c r="S30" s="1353"/>
      <c r="T30" s="1329"/>
    </row>
    <row r="31" spans="1:20" x14ac:dyDescent="0.2">
      <c r="A31" s="1328"/>
      <c r="B31" s="570">
        <f t="shared" si="0"/>
        <v>21</v>
      </c>
      <c r="C31" s="1303"/>
      <c r="D31" s="96"/>
      <c r="E31" s="96"/>
      <c r="F31" s="96"/>
      <c r="G31" s="96"/>
      <c r="H31" s="96"/>
      <c r="I31" s="96"/>
      <c r="J31" s="96"/>
      <c r="K31" s="341"/>
      <c r="L31" s="96" t="s">
        <v>444</v>
      </c>
      <c r="M31" s="124"/>
      <c r="N31" s="1304"/>
      <c r="O31" s="1304"/>
      <c r="P31" s="210"/>
      <c r="Q31" s="210"/>
      <c r="R31" s="210"/>
      <c r="S31" s="210"/>
      <c r="T31" s="1328"/>
    </row>
    <row r="32" spans="1:20" s="11" customFormat="1" x14ac:dyDescent="0.2">
      <c r="A32" s="1330"/>
      <c r="B32" s="570">
        <f t="shared" si="0"/>
        <v>22</v>
      </c>
      <c r="C32" s="1355" t="s">
        <v>52</v>
      </c>
      <c r="D32" s="1392">
        <f>D14+D20</f>
        <v>39264</v>
      </c>
      <c r="E32" s="1392">
        <f>E14+E20</f>
        <v>88263</v>
      </c>
      <c r="F32" s="1392">
        <f>F14+F20</f>
        <v>127527</v>
      </c>
      <c r="G32" s="1392">
        <f>G20+G14+G29</f>
        <v>6500</v>
      </c>
      <c r="H32" s="1392">
        <f t="shared" ref="H32:K32" si="4">H20+H14+H29</f>
        <v>-5028</v>
      </c>
      <c r="I32" s="1392">
        <f t="shared" si="4"/>
        <v>45764</v>
      </c>
      <c r="J32" s="1392">
        <f t="shared" si="4"/>
        <v>83235</v>
      </c>
      <c r="K32" s="1393">
        <f t="shared" si="4"/>
        <v>128999</v>
      </c>
      <c r="L32" s="96" t="s">
        <v>440</v>
      </c>
      <c r="M32" s="124"/>
      <c r="N32" s="1304"/>
      <c r="O32" s="1304"/>
      <c r="P32" s="598"/>
      <c r="Q32" s="598"/>
      <c r="R32" s="598"/>
      <c r="S32" s="598"/>
      <c r="T32" s="1330"/>
    </row>
    <row r="33" spans="1:20" x14ac:dyDescent="0.2">
      <c r="A33" s="1328"/>
      <c r="B33" s="570">
        <f t="shared" si="0"/>
        <v>23</v>
      </c>
      <c r="C33" s="125" t="s">
        <v>67</v>
      </c>
      <c r="D33" s="1354">
        <f>D16+D24+D25+D26+D27+D30</f>
        <v>0</v>
      </c>
      <c r="E33" s="1354">
        <f t="shared" ref="E33:F33" si="5">E16+E24+E25+E26+E27+E30</f>
        <v>0</v>
      </c>
      <c r="F33" s="1354">
        <f t="shared" si="5"/>
        <v>0</v>
      </c>
      <c r="G33" s="1354">
        <f>G25</f>
        <v>0</v>
      </c>
      <c r="H33" s="1354">
        <f t="shared" ref="H33:K33" si="6">H25</f>
        <v>0</v>
      </c>
      <c r="I33" s="1354">
        <f t="shared" si="6"/>
        <v>0</v>
      </c>
      <c r="J33" s="1354">
        <f t="shared" si="6"/>
        <v>0</v>
      </c>
      <c r="K33" s="339">
        <f t="shared" si="6"/>
        <v>0</v>
      </c>
      <c r="L33" s="1388" t="s">
        <v>68</v>
      </c>
      <c r="M33" s="1354">
        <f>SUM(M27:M32)</f>
        <v>0</v>
      </c>
      <c r="N33" s="1308">
        <f>SUM(N27:N32)</f>
        <v>2380</v>
      </c>
      <c r="O33" s="1308">
        <f>SUM(O27:O31)</f>
        <v>2380</v>
      </c>
      <c r="P33" s="898">
        <f>SUM(P27:P32)</f>
        <v>600</v>
      </c>
      <c r="Q33" s="898">
        <f>SUM(Q27:Q32)</f>
        <v>-600</v>
      </c>
      <c r="R33" s="1308">
        <f>SUM(R27:R32)</f>
        <v>600</v>
      </c>
      <c r="S33" s="1308">
        <f>SUM(S27:S32)</f>
        <v>1780</v>
      </c>
      <c r="T33" s="1323">
        <f>SUM(T27:T32)</f>
        <v>2380</v>
      </c>
    </row>
    <row r="34" spans="1:20" x14ac:dyDescent="0.2">
      <c r="A34" s="1328"/>
      <c r="B34" s="570">
        <f t="shared" si="0"/>
        <v>24</v>
      </c>
      <c r="C34" s="128" t="s">
        <v>51</v>
      </c>
      <c r="D34" s="126">
        <f>SUM(D32:D33)</f>
        <v>39264</v>
      </c>
      <c r="E34" s="126">
        <f>SUM(E32:E33)</f>
        <v>88263</v>
      </c>
      <c r="F34" s="126">
        <f>SUM(D34:E34)</f>
        <v>127527</v>
      </c>
      <c r="G34" s="126">
        <f>G32+G33</f>
        <v>6500</v>
      </c>
      <c r="H34" s="126">
        <f t="shared" ref="H34:K34" si="7">H32+H33</f>
        <v>-5028</v>
      </c>
      <c r="I34" s="126">
        <f t="shared" si="7"/>
        <v>45764</v>
      </c>
      <c r="J34" s="126">
        <f t="shared" si="7"/>
        <v>83235</v>
      </c>
      <c r="K34" s="340">
        <f t="shared" si="7"/>
        <v>128999</v>
      </c>
      <c r="L34" s="126" t="s">
        <v>69</v>
      </c>
      <c r="M34" s="126">
        <f>M24+M33</f>
        <v>163310</v>
      </c>
      <c r="N34" s="1309">
        <f>N24+N33</f>
        <v>288936</v>
      </c>
      <c r="O34" s="1309">
        <f>O24+O33</f>
        <v>452246</v>
      </c>
      <c r="P34" s="1309">
        <f t="shared" ref="P34:T34" si="8">P24+P33</f>
        <v>9401</v>
      </c>
      <c r="Q34" s="1309">
        <f t="shared" si="8"/>
        <v>-4824</v>
      </c>
      <c r="R34" s="1309">
        <f t="shared" si="8"/>
        <v>172711</v>
      </c>
      <c r="S34" s="1309">
        <f t="shared" si="8"/>
        <v>284112</v>
      </c>
      <c r="T34" s="1324">
        <f t="shared" si="8"/>
        <v>456823</v>
      </c>
    </row>
    <row r="35" spans="1:20" x14ac:dyDescent="0.2">
      <c r="A35" s="1328"/>
      <c r="B35" s="570">
        <f t="shared" si="0"/>
        <v>25</v>
      </c>
      <c r="C35" s="1303"/>
      <c r="D35" s="124"/>
      <c r="E35" s="124"/>
      <c r="F35" s="124"/>
      <c r="G35" s="124"/>
      <c r="H35" s="124"/>
      <c r="I35" s="124"/>
      <c r="J35" s="124"/>
      <c r="K35" s="1374"/>
      <c r="L35" s="124"/>
      <c r="M35" s="124"/>
      <c r="N35" s="1304"/>
      <c r="O35" s="1304"/>
      <c r="P35" s="210"/>
      <c r="Q35" s="210"/>
      <c r="R35" s="210"/>
      <c r="S35" s="210"/>
      <c r="T35" s="1328"/>
    </row>
    <row r="36" spans="1:20" x14ac:dyDescent="0.2">
      <c r="A36" s="1328"/>
      <c r="B36" s="570">
        <f t="shared" si="0"/>
        <v>26</v>
      </c>
      <c r="C36" s="1303"/>
      <c r="D36" s="124"/>
      <c r="E36" s="124"/>
      <c r="F36" s="124"/>
      <c r="G36" s="124"/>
      <c r="H36" s="124"/>
      <c r="I36" s="124"/>
      <c r="J36" s="124"/>
      <c r="K36" s="1374"/>
      <c r="L36" s="1354"/>
      <c r="M36" s="1354"/>
      <c r="N36" s="1308"/>
      <c r="O36" s="1308"/>
      <c r="P36" s="210"/>
      <c r="Q36" s="210"/>
      <c r="R36" s="210"/>
      <c r="S36" s="210"/>
      <c r="T36" s="1328"/>
    </row>
    <row r="37" spans="1:20" s="11" customFormat="1" x14ac:dyDescent="0.2">
      <c r="A37" s="1330"/>
      <c r="B37" s="570">
        <f t="shared" si="0"/>
        <v>27</v>
      </c>
      <c r="C37" s="1303"/>
      <c r="D37" s="124"/>
      <c r="E37" s="124"/>
      <c r="F37" s="124"/>
      <c r="G37" s="124"/>
      <c r="H37" s="124"/>
      <c r="I37" s="124"/>
      <c r="J37" s="124"/>
      <c r="K37" s="1374"/>
      <c r="L37" s="124"/>
      <c r="M37" s="124"/>
      <c r="N37" s="1304"/>
      <c r="O37" s="1304"/>
      <c r="P37" s="598"/>
      <c r="Q37" s="598"/>
      <c r="R37" s="598"/>
      <c r="S37" s="598"/>
      <c r="T37" s="1330"/>
    </row>
    <row r="38" spans="1:20" s="11" customFormat="1" x14ac:dyDescent="0.2">
      <c r="A38" s="1330"/>
      <c r="B38" s="570">
        <f t="shared" si="0"/>
        <v>28</v>
      </c>
      <c r="C38" s="1302" t="s">
        <v>53</v>
      </c>
      <c r="D38" s="1302"/>
      <c r="E38" s="1302"/>
      <c r="F38" s="1302"/>
      <c r="G38" s="1302"/>
      <c r="H38" s="1302"/>
      <c r="I38" s="1302"/>
      <c r="J38" s="1302"/>
      <c r="K38" s="375"/>
      <c r="L38" s="1302" t="s">
        <v>33</v>
      </c>
      <c r="M38" s="126"/>
      <c r="N38" s="1309"/>
      <c r="O38" s="1309"/>
      <c r="P38" s="598"/>
      <c r="Q38" s="598"/>
      <c r="R38" s="598"/>
      <c r="S38" s="598"/>
      <c r="T38" s="1330"/>
    </row>
    <row r="39" spans="1:20" s="11" customFormat="1" x14ac:dyDescent="0.2">
      <c r="A39" s="1330"/>
      <c r="B39" s="570">
        <f t="shared" si="0"/>
        <v>29</v>
      </c>
      <c r="C39" s="1357" t="s">
        <v>682</v>
      </c>
      <c r="D39" s="1302"/>
      <c r="E39" s="1302"/>
      <c r="F39" s="1302"/>
      <c r="G39" s="1302"/>
      <c r="H39" s="1302"/>
      <c r="I39" s="1302"/>
      <c r="J39" s="1302"/>
      <c r="K39" s="375"/>
      <c r="L39" s="1357" t="s">
        <v>4</v>
      </c>
      <c r="M39" s="126"/>
      <c r="N39" s="598"/>
      <c r="O39" s="598"/>
      <c r="P39" s="598"/>
      <c r="Q39" s="598"/>
      <c r="R39" s="598"/>
      <c r="S39" s="598"/>
      <c r="T39" s="1330"/>
    </row>
    <row r="40" spans="1:20" s="11" customFormat="1" x14ac:dyDescent="0.2">
      <c r="A40" s="1330"/>
      <c r="B40" s="570">
        <f t="shared" si="0"/>
        <v>30</v>
      </c>
      <c r="C40" s="123" t="s">
        <v>961</v>
      </c>
      <c r="D40" s="1302"/>
      <c r="E40" s="1302"/>
      <c r="F40" s="1302"/>
      <c r="G40" s="1302"/>
      <c r="H40" s="1302"/>
      <c r="I40" s="1302"/>
      <c r="J40" s="1302"/>
      <c r="K40" s="375"/>
      <c r="L40" s="123" t="s">
        <v>3</v>
      </c>
      <c r="M40" s="126"/>
      <c r="N40" s="1309"/>
      <c r="O40" s="1309"/>
      <c r="P40" s="598"/>
      <c r="Q40" s="598"/>
      <c r="R40" s="598"/>
      <c r="S40" s="598"/>
      <c r="T40" s="1330"/>
    </row>
    <row r="41" spans="1:20" x14ac:dyDescent="0.2">
      <c r="A41" s="1328"/>
      <c r="B41" s="570">
        <f t="shared" si="0"/>
        <v>31</v>
      </c>
      <c r="C41" s="96" t="s">
        <v>684</v>
      </c>
      <c r="D41" s="1373"/>
      <c r="E41" s="1373"/>
      <c r="F41" s="1373"/>
      <c r="G41" s="1373"/>
      <c r="H41" s="1373"/>
      <c r="I41" s="1373"/>
      <c r="J41" s="1373"/>
      <c r="K41" s="1375"/>
      <c r="L41" s="96" t="s">
        <v>5</v>
      </c>
      <c r="M41" s="126"/>
      <c r="N41" s="1309"/>
      <c r="O41" s="1309"/>
      <c r="P41" s="210"/>
      <c r="Q41" s="210"/>
      <c r="R41" s="210"/>
      <c r="S41" s="210"/>
      <c r="T41" s="1328"/>
    </row>
    <row r="42" spans="1:20" x14ac:dyDescent="0.2">
      <c r="A42" s="1328"/>
      <c r="B42" s="570">
        <f t="shared" si="0"/>
        <v>32</v>
      </c>
      <c r="C42" s="96" t="s">
        <v>207</v>
      </c>
      <c r="D42" s="96"/>
      <c r="E42" s="96"/>
      <c r="F42" s="96"/>
      <c r="G42" s="96"/>
      <c r="H42" s="96"/>
      <c r="I42" s="96"/>
      <c r="J42" s="96"/>
      <c r="K42" s="341"/>
      <c r="L42" s="96" t="s">
        <v>6</v>
      </c>
      <c r="M42" s="126"/>
      <c r="N42" s="1309"/>
      <c r="O42" s="1309"/>
      <c r="P42" s="210"/>
      <c r="Q42" s="210"/>
      <c r="R42" s="210"/>
      <c r="S42" s="210"/>
      <c r="T42" s="1328"/>
    </row>
    <row r="43" spans="1:20" x14ac:dyDescent="0.2">
      <c r="A43" s="1328"/>
      <c r="B43" s="570">
        <f t="shared" si="0"/>
        <v>33</v>
      </c>
      <c r="C43" s="1362" t="s">
        <v>208</v>
      </c>
      <c r="D43" s="96">
        <v>14707</v>
      </c>
      <c r="E43" s="96"/>
      <c r="F43" s="96">
        <f>D43+E43</f>
        <v>14707</v>
      </c>
      <c r="G43" s="96"/>
      <c r="H43" s="96"/>
      <c r="I43" s="96">
        <f>D43+G43</f>
        <v>14707</v>
      </c>
      <c r="J43" s="96">
        <f>E43+H43</f>
        <v>0</v>
      </c>
      <c r="K43" s="341">
        <f>I43+J43</f>
        <v>14707</v>
      </c>
      <c r="L43" s="96" t="s">
        <v>7</v>
      </c>
      <c r="M43" s="126"/>
      <c r="N43" s="1309"/>
      <c r="O43" s="1309"/>
      <c r="P43" s="210"/>
      <c r="Q43" s="210"/>
      <c r="R43" s="210"/>
      <c r="S43" s="210"/>
      <c r="T43" s="1328"/>
    </row>
    <row r="44" spans="1:20" x14ac:dyDescent="0.2">
      <c r="A44" s="1328"/>
      <c r="B44" s="570">
        <f t="shared" si="0"/>
        <v>34</v>
      </c>
      <c r="C44" s="1362" t="s">
        <v>958</v>
      </c>
      <c r="D44" s="96"/>
      <c r="E44" s="96"/>
      <c r="F44" s="96"/>
      <c r="G44" s="96"/>
      <c r="H44" s="96"/>
      <c r="I44" s="96"/>
      <c r="J44" s="96"/>
      <c r="K44" s="341"/>
      <c r="L44" s="96"/>
      <c r="M44" s="126"/>
      <c r="N44" s="1309"/>
      <c r="O44" s="1309"/>
      <c r="P44" s="210"/>
      <c r="Q44" s="210"/>
      <c r="R44" s="210"/>
      <c r="S44" s="210"/>
      <c r="T44" s="1328"/>
    </row>
    <row r="45" spans="1:20" x14ac:dyDescent="0.2">
      <c r="A45" s="1328"/>
      <c r="B45" s="570">
        <f t="shared" si="0"/>
        <v>35</v>
      </c>
      <c r="C45" s="96" t="s">
        <v>685</v>
      </c>
      <c r="D45" s="96"/>
      <c r="E45" s="96"/>
      <c r="F45" s="96"/>
      <c r="G45" s="96"/>
      <c r="H45" s="96"/>
      <c r="I45" s="96"/>
      <c r="J45" s="96"/>
      <c r="K45" s="341"/>
      <c r="L45" s="96" t="s">
        <v>8</v>
      </c>
      <c r="M45" s="126"/>
      <c r="N45" s="1309"/>
      <c r="O45" s="1304"/>
      <c r="P45" s="210"/>
      <c r="Q45" s="210"/>
      <c r="R45" s="210"/>
      <c r="S45" s="210"/>
      <c r="T45" s="1328"/>
    </row>
    <row r="46" spans="1:20" x14ac:dyDescent="0.2">
      <c r="A46" s="1328"/>
      <c r="B46" s="570">
        <f t="shared" si="0"/>
        <v>36</v>
      </c>
      <c r="C46" s="96" t="s">
        <v>686</v>
      </c>
      <c r="D46" s="1302"/>
      <c r="E46" s="1302"/>
      <c r="F46" s="1302"/>
      <c r="G46" s="1302"/>
      <c r="H46" s="1302"/>
      <c r="I46" s="1302"/>
      <c r="J46" s="1302"/>
      <c r="K46" s="375"/>
      <c r="L46" s="96" t="s">
        <v>9</v>
      </c>
      <c r="M46" s="126"/>
      <c r="N46" s="1309"/>
      <c r="O46" s="1304"/>
      <c r="P46" s="210"/>
      <c r="Q46" s="210"/>
      <c r="R46" s="210"/>
      <c r="S46" s="210"/>
      <c r="T46" s="1328"/>
    </row>
    <row r="47" spans="1:20" x14ac:dyDescent="0.2">
      <c r="A47" s="1328"/>
      <c r="B47" s="570">
        <f t="shared" si="0"/>
        <v>37</v>
      </c>
      <c r="C47" s="96" t="s">
        <v>211</v>
      </c>
      <c r="D47" s="96"/>
      <c r="E47" s="96"/>
      <c r="F47" s="96"/>
      <c r="G47" s="96"/>
      <c r="H47" s="96"/>
      <c r="I47" s="96"/>
      <c r="J47" s="96"/>
      <c r="K47" s="341"/>
      <c r="L47" s="96" t="s">
        <v>10</v>
      </c>
      <c r="M47" s="124"/>
      <c r="N47" s="1304"/>
      <c r="O47" s="1304"/>
      <c r="P47" s="210"/>
      <c r="Q47" s="210"/>
      <c r="R47" s="210"/>
      <c r="S47" s="210"/>
      <c r="T47" s="1328"/>
    </row>
    <row r="48" spans="1:20" x14ac:dyDescent="0.2">
      <c r="A48" s="1328"/>
      <c r="B48" s="570">
        <f t="shared" si="0"/>
        <v>38</v>
      </c>
      <c r="C48" s="1362" t="s">
        <v>212</v>
      </c>
      <c r="D48" s="204">
        <f>M24-(D32+D43)</f>
        <v>109339</v>
      </c>
      <c r="E48" s="204">
        <f>N24-(E32+E43)</f>
        <v>198293</v>
      </c>
      <c r="F48" s="204">
        <f>O24-(F32+F43)</f>
        <v>307632</v>
      </c>
      <c r="G48" s="204">
        <f t="shared" ref="G48:K48" si="9">P24-(G32+G43)</f>
        <v>2301</v>
      </c>
      <c r="H48" s="204">
        <f t="shared" si="9"/>
        <v>804</v>
      </c>
      <c r="I48" s="204">
        <f t="shared" si="9"/>
        <v>111640</v>
      </c>
      <c r="J48" s="204">
        <f t="shared" si="9"/>
        <v>199097</v>
      </c>
      <c r="K48" s="353">
        <f t="shared" si="9"/>
        <v>310737</v>
      </c>
      <c r="L48" s="96" t="s">
        <v>11</v>
      </c>
      <c r="M48" s="124"/>
      <c r="N48" s="1304"/>
      <c r="O48" s="1304"/>
      <c r="P48" s="210"/>
      <c r="Q48" s="210"/>
      <c r="R48" s="210"/>
      <c r="S48" s="210"/>
      <c r="T48" s="1328"/>
    </row>
    <row r="49" spans="1:20" x14ac:dyDescent="0.2">
      <c r="A49" s="1328"/>
      <c r="B49" s="570">
        <f t="shared" si="0"/>
        <v>39</v>
      </c>
      <c r="C49" s="1362" t="s">
        <v>213</v>
      </c>
      <c r="D49" s="96">
        <f>M33-D33</f>
        <v>0</v>
      </c>
      <c r="E49" s="96">
        <f>N33-E33</f>
        <v>2380</v>
      </c>
      <c r="F49" s="96">
        <f>O33-F33</f>
        <v>2380</v>
      </c>
      <c r="G49" s="96">
        <f t="shared" ref="G49:K49" si="10">P33-G33</f>
        <v>600</v>
      </c>
      <c r="H49" s="96">
        <f t="shared" si="10"/>
        <v>-600</v>
      </c>
      <c r="I49" s="96">
        <f t="shared" si="10"/>
        <v>600</v>
      </c>
      <c r="J49" s="96">
        <f t="shared" si="10"/>
        <v>1780</v>
      </c>
      <c r="K49" s="341">
        <f t="shared" si="10"/>
        <v>2380</v>
      </c>
      <c r="L49" s="96" t="s">
        <v>12</v>
      </c>
      <c r="M49" s="124"/>
      <c r="N49" s="1304"/>
      <c r="O49" s="1304"/>
      <c r="P49" s="210"/>
      <c r="Q49" s="210"/>
      <c r="R49" s="210"/>
      <c r="S49" s="210"/>
      <c r="T49" s="1328"/>
    </row>
    <row r="50" spans="1:20" x14ac:dyDescent="0.2">
      <c r="A50" s="1328"/>
      <c r="B50" s="570">
        <f t="shared" si="0"/>
        <v>40</v>
      </c>
      <c r="C50" s="96" t="s">
        <v>1</v>
      </c>
      <c r="D50" s="96"/>
      <c r="E50" s="96"/>
      <c r="F50" s="96"/>
      <c r="G50" s="96"/>
      <c r="H50" s="96"/>
      <c r="I50" s="96"/>
      <c r="J50" s="96"/>
      <c r="K50" s="341"/>
      <c r="L50" s="96" t="s">
        <v>13</v>
      </c>
      <c r="M50" s="124"/>
      <c r="N50" s="1304"/>
      <c r="O50" s="1304"/>
      <c r="P50" s="210"/>
      <c r="Q50" s="210"/>
      <c r="R50" s="210"/>
      <c r="S50" s="210"/>
      <c r="T50" s="1328"/>
    </row>
    <row r="51" spans="1:20" x14ac:dyDescent="0.2">
      <c r="A51" s="1328"/>
      <c r="B51" s="570">
        <f t="shared" si="0"/>
        <v>41</v>
      </c>
      <c r="C51" s="96"/>
      <c r="D51" s="96"/>
      <c r="E51" s="96"/>
      <c r="F51" s="96"/>
      <c r="G51" s="96"/>
      <c r="H51" s="96"/>
      <c r="I51" s="96"/>
      <c r="J51" s="96"/>
      <c r="K51" s="341"/>
      <c r="L51" s="96" t="s">
        <v>14</v>
      </c>
      <c r="M51" s="124"/>
      <c r="N51" s="1304"/>
      <c r="O51" s="1304"/>
      <c r="P51" s="210"/>
      <c r="Q51" s="210"/>
      <c r="R51" s="210"/>
      <c r="S51" s="210"/>
      <c r="T51" s="1328"/>
    </row>
    <row r="52" spans="1:20" x14ac:dyDescent="0.2">
      <c r="A52" s="1328"/>
      <c r="B52" s="570">
        <f t="shared" si="0"/>
        <v>42</v>
      </c>
      <c r="C52" s="96"/>
      <c r="D52" s="96"/>
      <c r="E52" s="96"/>
      <c r="F52" s="96"/>
      <c r="G52" s="96"/>
      <c r="H52" s="96"/>
      <c r="I52" s="96"/>
      <c r="J52" s="96"/>
      <c r="K52" s="341"/>
      <c r="L52" s="96" t="s">
        <v>15</v>
      </c>
      <c r="M52" s="124"/>
      <c r="N52" s="1304"/>
      <c r="O52" s="1304"/>
      <c r="P52" s="210"/>
      <c r="Q52" s="210"/>
      <c r="R52" s="210"/>
      <c r="S52" s="210"/>
      <c r="T52" s="1328"/>
    </row>
    <row r="53" spans="1:20" ht="12" thickBot="1" x14ac:dyDescent="0.25">
      <c r="A53" s="1328"/>
      <c r="B53" s="570">
        <f t="shared" si="0"/>
        <v>43</v>
      </c>
      <c r="C53" s="128" t="s">
        <v>448</v>
      </c>
      <c r="D53" s="126">
        <f>SUM(D39:D51)</f>
        <v>124046</v>
      </c>
      <c r="E53" s="126">
        <f>SUM(E39:E51)</f>
        <v>200673</v>
      </c>
      <c r="F53" s="126">
        <f>SUM(F39:F51)</f>
        <v>324719</v>
      </c>
      <c r="G53" s="126">
        <f t="shared" ref="G53:K53" si="11">SUM(G39:G51)</f>
        <v>2901</v>
      </c>
      <c r="H53" s="126">
        <f t="shared" si="11"/>
        <v>204</v>
      </c>
      <c r="I53" s="126">
        <f t="shared" si="11"/>
        <v>126947</v>
      </c>
      <c r="J53" s="126">
        <f t="shared" si="11"/>
        <v>200877</v>
      </c>
      <c r="K53" s="340">
        <f t="shared" si="11"/>
        <v>327824</v>
      </c>
      <c r="L53" s="1302" t="s">
        <v>441</v>
      </c>
      <c r="M53" s="126">
        <f>SUM(M39:M52)</f>
        <v>0</v>
      </c>
      <c r="N53" s="1309">
        <f>SUM(N39:N52)</f>
        <v>0</v>
      </c>
      <c r="O53" s="1309">
        <f>SUM(O39:O52)</f>
        <v>0</v>
      </c>
      <c r="P53" s="598">
        <v>0</v>
      </c>
      <c r="Q53" s="598">
        <v>0</v>
      </c>
      <c r="R53" s="598">
        <v>0</v>
      </c>
      <c r="S53" s="598">
        <v>0</v>
      </c>
      <c r="T53" s="1330">
        <v>0</v>
      </c>
    </row>
    <row r="54" spans="1:20" ht="12" thickBot="1" x14ac:dyDescent="0.25">
      <c r="A54" s="210"/>
      <c r="B54" s="697">
        <f t="shared" si="0"/>
        <v>44</v>
      </c>
      <c r="C54" s="696" t="s">
        <v>443</v>
      </c>
      <c r="D54" s="689">
        <f>D34+D53</f>
        <v>163310</v>
      </c>
      <c r="E54" s="689">
        <f>E34+E53</f>
        <v>288936</v>
      </c>
      <c r="F54" s="689">
        <f>F34+F53</f>
        <v>452246</v>
      </c>
      <c r="G54" s="689">
        <f t="shared" ref="G54:K54" si="12">G34+G53</f>
        <v>9401</v>
      </c>
      <c r="H54" s="689">
        <f t="shared" si="12"/>
        <v>-4824</v>
      </c>
      <c r="I54" s="689">
        <f t="shared" si="12"/>
        <v>172711</v>
      </c>
      <c r="J54" s="689">
        <f t="shared" si="12"/>
        <v>284112</v>
      </c>
      <c r="K54" s="689">
        <f t="shared" si="12"/>
        <v>456823</v>
      </c>
      <c r="L54" s="1384" t="s">
        <v>442</v>
      </c>
      <c r="M54" s="689">
        <f>M34+M53</f>
        <v>163310</v>
      </c>
      <c r="N54" s="695">
        <f>N34+N53</f>
        <v>288936</v>
      </c>
      <c r="O54" s="695">
        <f>O34+O53</f>
        <v>452246</v>
      </c>
      <c r="P54" s="695">
        <f t="shared" ref="P54:T54" si="13">P34+P53</f>
        <v>9401</v>
      </c>
      <c r="Q54" s="695">
        <f t="shared" si="13"/>
        <v>-4824</v>
      </c>
      <c r="R54" s="695">
        <f t="shared" si="13"/>
        <v>172711</v>
      </c>
      <c r="S54" s="695">
        <f t="shared" si="13"/>
        <v>284112</v>
      </c>
      <c r="T54" s="695">
        <f t="shared" si="13"/>
        <v>456823</v>
      </c>
    </row>
    <row r="55" spans="1:20" x14ac:dyDescent="0.2">
      <c r="C55" s="130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33"/>
      <c r="O55" s="133"/>
      <c r="P55" s="10"/>
    </row>
    <row r="56" spans="1:20" x14ac:dyDescent="0.2">
      <c r="P56" s="10"/>
    </row>
  </sheetData>
  <sheetProtection selectLockedCells="1" selectUnlockedCells="1"/>
  <mergeCells count="17">
    <mergeCell ref="B8:B10"/>
    <mergeCell ref="C8:C9"/>
    <mergeCell ref="L8:L9"/>
    <mergeCell ref="D9:F9"/>
    <mergeCell ref="M9:O9"/>
    <mergeCell ref="G9:H9"/>
    <mergeCell ref="C1:O1"/>
    <mergeCell ref="B4:T4"/>
    <mergeCell ref="B5:T5"/>
    <mergeCell ref="B6:T6"/>
    <mergeCell ref="C7:T7"/>
    <mergeCell ref="B3:T3"/>
    <mergeCell ref="I9:K9"/>
    <mergeCell ref="P9:Q9"/>
    <mergeCell ref="R9:T9"/>
    <mergeCell ref="M8:T8"/>
    <mergeCell ref="D8:K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2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284" customWidth="1"/>
    <col min="5" max="5" width="10.42578125" style="284" bestFit="1" customWidth="1"/>
    <col min="6" max="9" width="9.7109375" style="284" customWidth="1"/>
    <col min="10" max="10" width="10.140625" style="284" customWidth="1"/>
    <col min="11" max="14" width="9.7109375" style="284" customWidth="1"/>
    <col min="15" max="15" width="11.5703125" style="284" customWidth="1"/>
    <col min="16" max="16" width="10.140625" style="16" customWidth="1"/>
    <col min="17" max="16384" width="9.140625" style="16"/>
  </cols>
  <sheetData>
    <row r="1" spans="1:33" ht="12.75" customHeight="1" x14ac:dyDescent="0.25">
      <c r="B1" s="1651" t="s">
        <v>1252</v>
      </c>
      <c r="C1" s="1651"/>
      <c r="D1" s="1651"/>
      <c r="E1" s="1651"/>
      <c r="F1" s="1651"/>
      <c r="G1" s="1651"/>
      <c r="H1" s="1651"/>
      <c r="I1" s="1651"/>
      <c r="J1" s="1651"/>
      <c r="K1" s="1651"/>
      <c r="L1" s="1651"/>
      <c r="M1" s="1651"/>
      <c r="N1" s="1651"/>
      <c r="O1" s="1651"/>
      <c r="P1" s="630"/>
      <c r="Q1" s="630"/>
      <c r="R1" s="630"/>
      <c r="S1" s="630"/>
      <c r="T1" s="630"/>
      <c r="U1" s="630"/>
      <c r="V1" s="630"/>
      <c r="W1" s="630"/>
      <c r="X1" s="630"/>
      <c r="Y1" s="630"/>
      <c r="Z1" s="630"/>
      <c r="AA1" s="630"/>
      <c r="AB1" s="630"/>
      <c r="AC1" s="630"/>
      <c r="AD1" s="630"/>
      <c r="AE1" s="630"/>
      <c r="AF1" s="630"/>
      <c r="AG1" s="630"/>
    </row>
    <row r="2" spans="1:33" ht="14.1" customHeight="1" x14ac:dyDescent="0.25">
      <c r="A2" s="28"/>
      <c r="B2" s="1649" t="s">
        <v>86</v>
      </c>
      <c r="C2" s="1649"/>
      <c r="D2" s="1649"/>
      <c r="E2" s="1649"/>
      <c r="F2" s="1649"/>
      <c r="G2" s="1649"/>
      <c r="H2" s="1649"/>
      <c r="I2" s="1649"/>
      <c r="J2" s="1649"/>
      <c r="K2" s="1649"/>
      <c r="L2" s="1649"/>
      <c r="M2" s="1649"/>
      <c r="N2" s="1649"/>
      <c r="O2" s="1649"/>
    </row>
    <row r="3" spans="1:33" ht="14.1" customHeight="1" x14ac:dyDescent="0.25">
      <c r="A3" s="28"/>
      <c r="B3" s="1649" t="s">
        <v>1246</v>
      </c>
      <c r="C3" s="1649"/>
      <c r="D3" s="1649"/>
      <c r="E3" s="1649"/>
      <c r="F3" s="1649"/>
      <c r="G3" s="1649"/>
      <c r="H3" s="1649"/>
      <c r="I3" s="1649"/>
      <c r="J3" s="1649"/>
      <c r="K3" s="1649"/>
      <c r="L3" s="1649"/>
      <c r="M3" s="1649"/>
      <c r="N3" s="1649"/>
      <c r="O3" s="1649"/>
    </row>
    <row r="4" spans="1:33" ht="14.1" customHeight="1" x14ac:dyDescent="0.25">
      <c r="A4" s="28"/>
      <c r="B4" s="572"/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573"/>
      <c r="N4" s="573"/>
      <c r="O4" s="573"/>
    </row>
    <row r="5" spans="1:33" ht="15" customHeight="1" x14ac:dyDescent="0.25">
      <c r="A5" s="1650"/>
      <c r="B5" s="574" t="s">
        <v>57</v>
      </c>
      <c r="C5" s="575" t="s">
        <v>58</v>
      </c>
      <c r="D5" s="575" t="s">
        <v>59</v>
      </c>
      <c r="E5" s="575" t="s">
        <v>60</v>
      </c>
      <c r="F5" s="575" t="s">
        <v>470</v>
      </c>
      <c r="G5" s="575" t="s">
        <v>471</v>
      </c>
      <c r="H5" s="575" t="s">
        <v>472</v>
      </c>
      <c r="I5" s="575" t="s">
        <v>592</v>
      </c>
      <c r="J5" s="575" t="s">
        <v>600</v>
      </c>
      <c r="K5" s="575" t="s">
        <v>601</v>
      </c>
      <c r="L5" s="575" t="s">
        <v>602</v>
      </c>
      <c r="M5" s="575" t="s">
        <v>603</v>
      </c>
      <c r="N5" s="575" t="s">
        <v>604</v>
      </c>
      <c r="O5" s="575" t="s">
        <v>605</v>
      </c>
    </row>
    <row r="6" spans="1:33" ht="12.75" customHeight="1" x14ac:dyDescent="0.25">
      <c r="A6" s="1650"/>
      <c r="B6" s="571" t="s">
        <v>85</v>
      </c>
      <c r="C6" s="576" t="s">
        <v>606</v>
      </c>
      <c r="D6" s="576" t="s">
        <v>607</v>
      </c>
      <c r="E6" s="576" t="s">
        <v>608</v>
      </c>
      <c r="F6" s="576" t="s">
        <v>609</v>
      </c>
      <c r="G6" s="576" t="s">
        <v>610</v>
      </c>
      <c r="H6" s="576" t="s">
        <v>611</v>
      </c>
      <c r="I6" s="576" t="s">
        <v>612</v>
      </c>
      <c r="J6" s="576" t="s">
        <v>613</v>
      </c>
      <c r="K6" s="576" t="s">
        <v>614</v>
      </c>
      <c r="L6" s="576" t="s">
        <v>615</v>
      </c>
      <c r="M6" s="576" t="s">
        <v>616</v>
      </c>
      <c r="N6" s="576" t="s">
        <v>617</v>
      </c>
      <c r="O6" s="576" t="s">
        <v>529</v>
      </c>
    </row>
    <row r="7" spans="1:33" s="28" customFormat="1" ht="12.75" customHeight="1" x14ac:dyDescent="0.25">
      <c r="A7" s="21" t="s">
        <v>479</v>
      </c>
      <c r="B7" s="30" t="s">
        <v>646</v>
      </c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</row>
    <row r="8" spans="1:33" s="28" customFormat="1" ht="15.75" customHeight="1" x14ac:dyDescent="0.25">
      <c r="A8" s="21" t="s">
        <v>487</v>
      </c>
      <c r="B8" s="28" t="s">
        <v>640</v>
      </c>
      <c r="C8" s="186">
        <f>O8/12</f>
        <v>78518.666666666672</v>
      </c>
      <c r="D8" s="186">
        <f>C8</f>
        <v>78518.666666666672</v>
      </c>
      <c r="E8" s="186">
        <f t="shared" ref="E8:N8" si="0">D8</f>
        <v>78518.666666666672</v>
      </c>
      <c r="F8" s="186">
        <f t="shared" si="0"/>
        <v>78518.666666666672</v>
      </c>
      <c r="G8" s="186">
        <f t="shared" si="0"/>
        <v>78518.666666666672</v>
      </c>
      <c r="H8" s="186">
        <f t="shared" si="0"/>
        <v>78518.666666666672</v>
      </c>
      <c r="I8" s="186">
        <f t="shared" si="0"/>
        <v>78518.666666666672</v>
      </c>
      <c r="J8" s="186">
        <f t="shared" si="0"/>
        <v>78518.666666666672</v>
      </c>
      <c r="K8" s="186">
        <f t="shared" si="0"/>
        <v>78518.666666666672</v>
      </c>
      <c r="L8" s="186">
        <f t="shared" si="0"/>
        <v>78518.666666666672</v>
      </c>
      <c r="M8" s="186">
        <f t="shared" si="0"/>
        <v>78518.666666666672</v>
      </c>
      <c r="N8" s="186">
        <f t="shared" si="0"/>
        <v>78518.666666666672</v>
      </c>
      <c r="O8" s="186">
        <f>Össz.önkor.mérleg.!F11</f>
        <v>942224</v>
      </c>
      <c r="P8" s="31"/>
    </row>
    <row r="9" spans="1:33" s="28" customFormat="1" ht="16.5" customHeight="1" x14ac:dyDescent="0.25">
      <c r="A9" s="21" t="s">
        <v>488</v>
      </c>
      <c r="B9" s="28" t="s">
        <v>641</v>
      </c>
      <c r="C9" s="186">
        <f>O9/12</f>
        <v>8227.3333333333339</v>
      </c>
      <c r="D9" s="186">
        <f>C9</f>
        <v>8227.3333333333339</v>
      </c>
      <c r="E9" s="186">
        <f t="shared" ref="E9:N9" si="1">D9</f>
        <v>8227.3333333333339</v>
      </c>
      <c r="F9" s="186">
        <f t="shared" si="1"/>
        <v>8227.3333333333339</v>
      </c>
      <c r="G9" s="186">
        <f t="shared" si="1"/>
        <v>8227.3333333333339</v>
      </c>
      <c r="H9" s="186">
        <f t="shared" si="1"/>
        <v>8227.3333333333339</v>
      </c>
      <c r="I9" s="186">
        <f t="shared" si="1"/>
        <v>8227.3333333333339</v>
      </c>
      <c r="J9" s="186">
        <f t="shared" si="1"/>
        <v>8227.3333333333339</v>
      </c>
      <c r="K9" s="186">
        <f t="shared" si="1"/>
        <v>8227.3333333333339</v>
      </c>
      <c r="L9" s="186">
        <f t="shared" si="1"/>
        <v>8227.3333333333339</v>
      </c>
      <c r="M9" s="186">
        <f t="shared" si="1"/>
        <v>8227.3333333333339</v>
      </c>
      <c r="N9" s="186">
        <f t="shared" si="1"/>
        <v>8227.3333333333339</v>
      </c>
      <c r="O9" s="186">
        <f>Össz.önkor.mérleg.!F13</f>
        <v>98728</v>
      </c>
      <c r="P9" s="31"/>
    </row>
    <row r="10" spans="1:33" s="28" customFormat="1" ht="15.75" customHeight="1" x14ac:dyDescent="0.25">
      <c r="A10" s="21" t="s">
        <v>489</v>
      </c>
      <c r="B10" s="28" t="s">
        <v>453</v>
      </c>
      <c r="C10" s="186">
        <f>O10/12</f>
        <v>103367</v>
      </c>
      <c r="D10" s="186">
        <f>C10</f>
        <v>103367</v>
      </c>
      <c r="E10" s="186">
        <f t="shared" ref="E10:N10" si="2">D10</f>
        <v>103367</v>
      </c>
      <c r="F10" s="186">
        <f t="shared" si="2"/>
        <v>103367</v>
      </c>
      <c r="G10" s="186">
        <f t="shared" si="2"/>
        <v>103367</v>
      </c>
      <c r="H10" s="186">
        <f t="shared" si="2"/>
        <v>103367</v>
      </c>
      <c r="I10" s="186">
        <f t="shared" si="2"/>
        <v>103367</v>
      </c>
      <c r="J10" s="186">
        <f t="shared" si="2"/>
        <v>103367</v>
      </c>
      <c r="K10" s="186">
        <f t="shared" si="2"/>
        <v>103367</v>
      </c>
      <c r="L10" s="186">
        <f t="shared" si="2"/>
        <v>103367</v>
      </c>
      <c r="M10" s="186">
        <f t="shared" si="2"/>
        <v>103367</v>
      </c>
      <c r="N10" s="186">
        <f t="shared" si="2"/>
        <v>103367</v>
      </c>
      <c r="O10" s="186">
        <f>Össz.önkor.mérleg.!F17</f>
        <v>1240404</v>
      </c>
      <c r="P10" s="31"/>
    </row>
    <row r="11" spans="1:33" s="29" customFormat="1" ht="18" customHeight="1" x14ac:dyDescent="0.25">
      <c r="A11" s="21" t="s">
        <v>490</v>
      </c>
      <c r="B11" s="29" t="s">
        <v>642</v>
      </c>
      <c r="C11" s="186">
        <f>O11/12</f>
        <v>53191.083333333336</v>
      </c>
      <c r="D11" s="186">
        <f>C11</f>
        <v>53191.083333333336</v>
      </c>
      <c r="E11" s="186">
        <f t="shared" ref="E11:N11" si="3">D11</f>
        <v>53191.083333333336</v>
      </c>
      <c r="F11" s="186">
        <f t="shared" si="3"/>
        <v>53191.083333333336</v>
      </c>
      <c r="G11" s="186">
        <f t="shared" si="3"/>
        <v>53191.083333333336</v>
      </c>
      <c r="H11" s="186">
        <f t="shared" si="3"/>
        <v>53191.083333333336</v>
      </c>
      <c r="I11" s="186">
        <f t="shared" si="3"/>
        <v>53191.083333333336</v>
      </c>
      <c r="J11" s="186">
        <f t="shared" si="3"/>
        <v>53191.083333333336</v>
      </c>
      <c r="K11" s="186">
        <f t="shared" si="3"/>
        <v>53191.083333333336</v>
      </c>
      <c r="L11" s="186">
        <f t="shared" si="3"/>
        <v>53191.083333333336</v>
      </c>
      <c r="M11" s="186">
        <f t="shared" si="3"/>
        <v>53191.083333333336</v>
      </c>
      <c r="N11" s="186">
        <f t="shared" si="3"/>
        <v>53191.083333333336</v>
      </c>
      <c r="O11" s="186">
        <f>Össz.önkor.mérleg.!F20</f>
        <v>638293</v>
      </c>
      <c r="P11" s="31"/>
    </row>
    <row r="12" spans="1:33" s="28" customFormat="1" ht="13.5" customHeight="1" x14ac:dyDescent="0.25">
      <c r="A12" s="21" t="s">
        <v>491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>
        <f t="shared" ref="O12:O18" si="4">SUM(C12:N12)</f>
        <v>0</v>
      </c>
      <c r="P12" s="31"/>
    </row>
    <row r="13" spans="1:33" s="28" customFormat="1" ht="15" customHeight="1" x14ac:dyDescent="0.25">
      <c r="A13" s="21" t="s">
        <v>492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>
        <f t="shared" si="4"/>
        <v>0</v>
      </c>
      <c r="P13" s="31"/>
    </row>
    <row r="14" spans="1:33" s="30" customFormat="1" ht="15.75" customHeight="1" x14ac:dyDescent="0.25">
      <c r="A14" s="21" t="s">
        <v>493</v>
      </c>
      <c r="B14" s="577" t="s">
        <v>618</v>
      </c>
      <c r="C14" s="578">
        <f>SUM(C8:C13)</f>
        <v>243304.08333333334</v>
      </c>
      <c r="D14" s="578">
        <f>SUM(D8:D12)</f>
        <v>243304.08333333334</v>
      </c>
      <c r="E14" s="578">
        <f>SUM(E8:E12)</f>
        <v>243304.08333333334</v>
      </c>
      <c r="F14" s="578">
        <f>SUM(F8:F13)</f>
        <v>243304.08333333334</v>
      </c>
      <c r="G14" s="578">
        <f>SUM(G8:G13)</f>
        <v>243304.08333333334</v>
      </c>
      <c r="H14" s="578">
        <f t="shared" ref="H14:N14" si="5">SUM(H8:H12)</f>
        <v>243304.08333333334</v>
      </c>
      <c r="I14" s="578">
        <f t="shared" si="5"/>
        <v>243304.08333333334</v>
      </c>
      <c r="J14" s="578">
        <f t="shared" si="5"/>
        <v>243304.08333333334</v>
      </c>
      <c r="K14" s="578">
        <f t="shared" si="5"/>
        <v>243304.08333333334</v>
      </c>
      <c r="L14" s="578">
        <f t="shared" si="5"/>
        <v>243304.08333333334</v>
      </c>
      <c r="M14" s="578">
        <f t="shared" si="5"/>
        <v>243304.08333333334</v>
      </c>
      <c r="N14" s="578">
        <f t="shared" si="5"/>
        <v>243304.08333333334</v>
      </c>
      <c r="O14" s="579">
        <f>SUM(O8:O13)</f>
        <v>2919649</v>
      </c>
      <c r="P14" s="32"/>
    </row>
    <row r="15" spans="1:33" s="28" customFormat="1" ht="15.75" customHeight="1" x14ac:dyDescent="0.25">
      <c r="A15" s="21" t="s">
        <v>494</v>
      </c>
      <c r="B15" s="28" t="s">
        <v>643</v>
      </c>
      <c r="C15" s="186"/>
      <c r="D15" s="186"/>
      <c r="E15" s="186"/>
      <c r="F15" s="186"/>
      <c r="G15" s="580"/>
      <c r="H15" s="580"/>
      <c r="I15" s="580"/>
      <c r="J15" s="580"/>
      <c r="K15" s="580"/>
      <c r="L15" s="580"/>
      <c r="M15" s="580"/>
      <c r="N15" s="580"/>
      <c r="O15" s="188">
        <f>Össz.önkor.mérleg.!F24</f>
        <v>48747</v>
      </c>
      <c r="P15" s="31"/>
    </row>
    <row r="16" spans="1:33" s="28" customFormat="1" ht="15" customHeight="1" x14ac:dyDescent="0.25">
      <c r="A16" s="21" t="s">
        <v>530</v>
      </c>
      <c r="B16" s="28" t="s">
        <v>644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8">
        <v>0</v>
      </c>
      <c r="P16" s="31"/>
    </row>
    <row r="17" spans="1:256" s="28" customFormat="1" ht="16.5" customHeight="1" x14ac:dyDescent="0.25">
      <c r="A17" s="21" t="s">
        <v>531</v>
      </c>
      <c r="B17" s="28" t="s">
        <v>563</v>
      </c>
      <c r="C17" s="186">
        <f>O17/12</f>
        <v>1169.25</v>
      </c>
      <c r="D17" s="186">
        <f>C17</f>
        <v>1169.25</v>
      </c>
      <c r="E17" s="186">
        <f t="shared" ref="E17:N17" si="6">D17</f>
        <v>1169.25</v>
      </c>
      <c r="F17" s="186">
        <f t="shared" si="6"/>
        <v>1169.25</v>
      </c>
      <c r="G17" s="186">
        <f t="shared" si="6"/>
        <v>1169.25</v>
      </c>
      <c r="H17" s="186">
        <f t="shared" si="6"/>
        <v>1169.25</v>
      </c>
      <c r="I17" s="186">
        <f t="shared" si="6"/>
        <v>1169.25</v>
      </c>
      <c r="J17" s="186">
        <f t="shared" si="6"/>
        <v>1169.25</v>
      </c>
      <c r="K17" s="186">
        <f t="shared" si="6"/>
        <v>1169.25</v>
      </c>
      <c r="L17" s="186">
        <f t="shared" si="6"/>
        <v>1169.25</v>
      </c>
      <c r="M17" s="186">
        <f t="shared" si="6"/>
        <v>1169.25</v>
      </c>
      <c r="N17" s="186">
        <f t="shared" si="6"/>
        <v>1169.25</v>
      </c>
      <c r="O17" s="188">
        <f>Össz.önkor.mérleg.!F30</f>
        <v>14031</v>
      </c>
      <c r="P17" s="31"/>
    </row>
    <row r="18" spans="1:256" s="29" customFormat="1" ht="15" customHeight="1" x14ac:dyDescent="0.25">
      <c r="A18" s="21" t="s">
        <v>532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8">
        <f t="shared" si="4"/>
        <v>0</v>
      </c>
      <c r="P18" s="31"/>
    </row>
    <row r="19" spans="1:256" s="34" customFormat="1" ht="16.5" customHeight="1" x14ac:dyDescent="0.25">
      <c r="A19" s="21" t="s">
        <v>533</v>
      </c>
      <c r="B19" s="626" t="s">
        <v>619</v>
      </c>
      <c r="C19" s="627">
        <f>SUM(C15:C18)</f>
        <v>1169.25</v>
      </c>
      <c r="D19" s="627">
        <f>SUM(D15:D18)</f>
        <v>1169.25</v>
      </c>
      <c r="E19" s="627">
        <f>SUM(E15:E18)</f>
        <v>1169.25</v>
      </c>
      <c r="F19" s="627">
        <f t="shared" ref="F19:M19" si="7">SUM(F15:F18)</f>
        <v>1169.25</v>
      </c>
      <c r="G19" s="627">
        <f t="shared" si="7"/>
        <v>1169.25</v>
      </c>
      <c r="H19" s="627">
        <f t="shared" si="7"/>
        <v>1169.25</v>
      </c>
      <c r="I19" s="627">
        <f t="shared" si="7"/>
        <v>1169.25</v>
      </c>
      <c r="J19" s="627">
        <f t="shared" si="7"/>
        <v>1169.25</v>
      </c>
      <c r="K19" s="627">
        <f t="shared" si="7"/>
        <v>1169.25</v>
      </c>
      <c r="L19" s="627">
        <f t="shared" si="7"/>
        <v>1169.25</v>
      </c>
      <c r="M19" s="627">
        <f t="shared" si="7"/>
        <v>1169.25</v>
      </c>
      <c r="N19" s="627">
        <f>SUM(N15:N18)</f>
        <v>1169.25</v>
      </c>
      <c r="O19" s="628">
        <f>SUM(O15:O18)</f>
        <v>62778</v>
      </c>
      <c r="P19" s="33"/>
    </row>
    <row r="20" spans="1:256" s="30" customFormat="1" ht="16.5" customHeight="1" x14ac:dyDescent="0.25">
      <c r="A20" s="21" t="s">
        <v>534</v>
      </c>
      <c r="B20" s="34" t="s">
        <v>645</v>
      </c>
      <c r="C20" s="189"/>
      <c r="D20" s="189"/>
      <c r="E20" s="189"/>
      <c r="F20" s="189"/>
      <c r="G20" s="189"/>
      <c r="H20" s="187"/>
      <c r="I20" s="187"/>
      <c r="J20" s="187"/>
      <c r="K20" s="187"/>
      <c r="L20" s="187"/>
      <c r="M20" s="187"/>
      <c r="N20" s="187"/>
      <c r="O20" s="188">
        <f>SUM(C20:N20)</f>
        <v>0</v>
      </c>
      <c r="P20" s="32"/>
    </row>
    <row r="21" spans="1:256" s="28" customFormat="1" ht="15.75" customHeight="1" x14ac:dyDescent="0.25">
      <c r="A21" s="21" t="s">
        <v>535</v>
      </c>
      <c r="B21" s="29" t="s">
        <v>460</v>
      </c>
      <c r="C21" s="187">
        <f>O21/12</f>
        <v>127438.83333333333</v>
      </c>
      <c r="D21" s="187">
        <f>C21</f>
        <v>127438.83333333333</v>
      </c>
      <c r="E21" s="187">
        <f t="shared" ref="E21:N21" si="8">D21</f>
        <v>127438.83333333333</v>
      </c>
      <c r="F21" s="187">
        <f t="shared" si="8"/>
        <v>127438.83333333333</v>
      </c>
      <c r="G21" s="187">
        <f t="shared" si="8"/>
        <v>127438.83333333333</v>
      </c>
      <c r="H21" s="187">
        <f t="shared" si="8"/>
        <v>127438.83333333333</v>
      </c>
      <c r="I21" s="187">
        <f t="shared" si="8"/>
        <v>127438.83333333333</v>
      </c>
      <c r="J21" s="187">
        <f t="shared" si="8"/>
        <v>127438.83333333333</v>
      </c>
      <c r="K21" s="187">
        <f t="shared" si="8"/>
        <v>127438.83333333333</v>
      </c>
      <c r="L21" s="187">
        <f t="shared" si="8"/>
        <v>127438.83333333333</v>
      </c>
      <c r="M21" s="187">
        <f t="shared" si="8"/>
        <v>127438.83333333333</v>
      </c>
      <c r="N21" s="187">
        <f t="shared" si="8"/>
        <v>127438.83333333333</v>
      </c>
      <c r="O21" s="188">
        <f>Össz.önkor.mérleg.!F54</f>
        <v>1529266</v>
      </c>
      <c r="P21" s="31"/>
    </row>
    <row r="22" spans="1:256" s="30" customFormat="1" ht="16.5" customHeight="1" x14ac:dyDescent="0.25">
      <c r="A22" s="21" t="s">
        <v>536</v>
      </c>
      <c r="B22" s="581" t="s">
        <v>620</v>
      </c>
      <c r="C22" s="582">
        <f t="shared" ref="C22:N22" si="9">C19+C14+C20+C21</f>
        <v>371912.16666666669</v>
      </c>
      <c r="D22" s="582">
        <f t="shared" si="9"/>
        <v>371912.16666666669</v>
      </c>
      <c r="E22" s="582">
        <f t="shared" si="9"/>
        <v>371912.16666666669</v>
      </c>
      <c r="F22" s="582">
        <f t="shared" si="9"/>
        <v>371912.16666666669</v>
      </c>
      <c r="G22" s="582">
        <f t="shared" si="9"/>
        <v>371912.16666666669</v>
      </c>
      <c r="H22" s="582">
        <f t="shared" si="9"/>
        <v>371912.16666666669</v>
      </c>
      <c r="I22" s="582">
        <f t="shared" si="9"/>
        <v>371912.16666666669</v>
      </c>
      <c r="J22" s="582">
        <f t="shared" si="9"/>
        <v>371912.16666666669</v>
      </c>
      <c r="K22" s="582">
        <f t="shared" si="9"/>
        <v>371912.16666666669</v>
      </c>
      <c r="L22" s="582">
        <f t="shared" si="9"/>
        <v>371912.16666666669</v>
      </c>
      <c r="M22" s="582">
        <f t="shared" si="9"/>
        <v>371912.16666666669</v>
      </c>
      <c r="N22" s="582">
        <f t="shared" si="9"/>
        <v>371912.16666666669</v>
      </c>
      <c r="O22" s="583">
        <f>O14+O21+O19</f>
        <v>4511693</v>
      </c>
      <c r="P22" s="32"/>
    </row>
    <row r="23" spans="1:256" s="15" customFormat="1" ht="15" customHeight="1" x14ac:dyDescent="0.25">
      <c r="A23" s="21" t="s">
        <v>537</v>
      </c>
      <c r="B23" s="30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</row>
    <row r="24" spans="1:256" s="30" customFormat="1" ht="12.75" customHeight="1" x14ac:dyDescent="0.25">
      <c r="A24" s="21" t="s">
        <v>539</v>
      </c>
      <c r="B24" s="30" t="s">
        <v>65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</row>
    <row r="25" spans="1:256" s="28" customFormat="1" ht="15.75" customHeight="1" x14ac:dyDescent="0.25">
      <c r="A25" s="21" t="s">
        <v>540</v>
      </c>
      <c r="B25" s="28" t="s">
        <v>461</v>
      </c>
      <c r="C25" s="186">
        <f t="shared" ref="C25:C32" si="10">O25/12</f>
        <v>84489.666666666672</v>
      </c>
      <c r="D25" s="186">
        <f>C25</f>
        <v>84489.666666666672</v>
      </c>
      <c r="E25" s="186">
        <f t="shared" ref="E25:N25" si="11">D25</f>
        <v>84489.666666666672</v>
      </c>
      <c r="F25" s="186">
        <f t="shared" si="11"/>
        <v>84489.666666666672</v>
      </c>
      <c r="G25" s="186">
        <f t="shared" si="11"/>
        <v>84489.666666666672</v>
      </c>
      <c r="H25" s="186">
        <f t="shared" si="11"/>
        <v>84489.666666666672</v>
      </c>
      <c r="I25" s="186">
        <f t="shared" si="11"/>
        <v>84489.666666666672</v>
      </c>
      <c r="J25" s="186">
        <f t="shared" si="11"/>
        <v>84489.666666666672</v>
      </c>
      <c r="K25" s="186">
        <f t="shared" si="11"/>
        <v>84489.666666666672</v>
      </c>
      <c r="L25" s="186">
        <f t="shared" si="11"/>
        <v>84489.666666666672</v>
      </c>
      <c r="M25" s="186">
        <f t="shared" si="11"/>
        <v>84489.666666666672</v>
      </c>
      <c r="N25" s="186">
        <f t="shared" si="11"/>
        <v>84489.666666666672</v>
      </c>
      <c r="O25" s="188">
        <f>Össz.önkor.mérleg.!O10</f>
        <v>1013876</v>
      </c>
      <c r="P25" s="31"/>
    </row>
    <row r="26" spans="1:256" s="28" customFormat="1" ht="17.25" customHeight="1" x14ac:dyDescent="0.25">
      <c r="A26" s="21" t="s">
        <v>541</v>
      </c>
      <c r="B26" s="28" t="s">
        <v>462</v>
      </c>
      <c r="C26" s="186">
        <f t="shared" si="10"/>
        <v>17830.666666666668</v>
      </c>
      <c r="D26" s="186">
        <f t="shared" ref="D26:N32" si="12">C26</f>
        <v>17830.666666666668</v>
      </c>
      <c r="E26" s="186">
        <f t="shared" si="12"/>
        <v>17830.666666666668</v>
      </c>
      <c r="F26" s="186">
        <f t="shared" si="12"/>
        <v>17830.666666666668</v>
      </c>
      <c r="G26" s="186">
        <f t="shared" si="12"/>
        <v>17830.666666666668</v>
      </c>
      <c r="H26" s="186">
        <f t="shared" si="12"/>
        <v>17830.666666666668</v>
      </c>
      <c r="I26" s="186">
        <f t="shared" si="12"/>
        <v>17830.666666666668</v>
      </c>
      <c r="J26" s="186">
        <f t="shared" si="12"/>
        <v>17830.666666666668</v>
      </c>
      <c r="K26" s="186">
        <f t="shared" si="12"/>
        <v>17830.666666666668</v>
      </c>
      <c r="L26" s="186">
        <f t="shared" si="12"/>
        <v>17830.666666666668</v>
      </c>
      <c r="M26" s="186">
        <f t="shared" si="12"/>
        <v>17830.666666666668</v>
      </c>
      <c r="N26" s="186">
        <f t="shared" si="12"/>
        <v>17830.666666666668</v>
      </c>
      <c r="O26" s="188">
        <f>Össz.önkor.mérleg.!O11</f>
        <v>213968</v>
      </c>
      <c r="P26" s="31"/>
    </row>
    <row r="27" spans="1:256" s="28" customFormat="1" ht="13.5" customHeight="1" x14ac:dyDescent="0.25">
      <c r="A27" s="21" t="s">
        <v>542</v>
      </c>
      <c r="B27" s="28" t="s">
        <v>463</v>
      </c>
      <c r="C27" s="186">
        <f t="shared" si="10"/>
        <v>108329</v>
      </c>
      <c r="D27" s="186">
        <f t="shared" si="12"/>
        <v>108329</v>
      </c>
      <c r="E27" s="186">
        <f t="shared" si="12"/>
        <v>108329</v>
      </c>
      <c r="F27" s="186">
        <f t="shared" si="12"/>
        <v>108329</v>
      </c>
      <c r="G27" s="186">
        <f t="shared" si="12"/>
        <v>108329</v>
      </c>
      <c r="H27" s="186">
        <f t="shared" si="12"/>
        <v>108329</v>
      </c>
      <c r="I27" s="186">
        <f t="shared" si="12"/>
        <v>108329</v>
      </c>
      <c r="J27" s="186">
        <f t="shared" si="12"/>
        <v>108329</v>
      </c>
      <c r="K27" s="186">
        <f t="shared" si="12"/>
        <v>108329</v>
      </c>
      <c r="L27" s="186">
        <f t="shared" si="12"/>
        <v>108329</v>
      </c>
      <c r="M27" s="186">
        <f t="shared" si="12"/>
        <v>108329</v>
      </c>
      <c r="N27" s="186">
        <f t="shared" si="12"/>
        <v>108329</v>
      </c>
      <c r="O27" s="188">
        <f>Össz.önkor.mérleg.!O12</f>
        <v>1299948</v>
      </c>
      <c r="P27" s="31"/>
    </row>
    <row r="28" spans="1:256" s="28" customFormat="1" ht="15" customHeight="1" x14ac:dyDescent="0.25">
      <c r="A28" s="21" t="s">
        <v>543</v>
      </c>
      <c r="B28" s="28" t="s">
        <v>621</v>
      </c>
      <c r="C28" s="186">
        <f t="shared" si="10"/>
        <v>1165.75</v>
      </c>
      <c r="D28" s="186">
        <f t="shared" si="12"/>
        <v>1165.75</v>
      </c>
      <c r="E28" s="186">
        <f t="shared" si="12"/>
        <v>1165.75</v>
      </c>
      <c r="F28" s="186">
        <f t="shared" si="12"/>
        <v>1165.75</v>
      </c>
      <c r="G28" s="186">
        <f t="shared" si="12"/>
        <v>1165.75</v>
      </c>
      <c r="H28" s="186">
        <f t="shared" si="12"/>
        <v>1165.75</v>
      </c>
      <c r="I28" s="186">
        <f t="shared" si="12"/>
        <v>1165.75</v>
      </c>
      <c r="J28" s="186">
        <f t="shared" si="12"/>
        <v>1165.75</v>
      </c>
      <c r="K28" s="186">
        <f t="shared" si="12"/>
        <v>1165.75</v>
      </c>
      <c r="L28" s="186">
        <f t="shared" si="12"/>
        <v>1165.75</v>
      </c>
      <c r="M28" s="186">
        <f t="shared" si="12"/>
        <v>1165.75</v>
      </c>
      <c r="N28" s="186">
        <f t="shared" si="12"/>
        <v>1165.75</v>
      </c>
      <c r="O28" s="188">
        <f>Össz.önkor.mérleg.!O14</f>
        <v>13989</v>
      </c>
      <c r="P28" s="31"/>
      <c r="IV28" s="31"/>
    </row>
    <row r="29" spans="1:256" s="28" customFormat="1" ht="15" customHeight="1" x14ac:dyDescent="0.25">
      <c r="A29" s="21" t="s">
        <v>544</v>
      </c>
      <c r="B29" s="28" t="s">
        <v>266</v>
      </c>
      <c r="C29" s="186">
        <v>38</v>
      </c>
      <c r="D29" s="186">
        <f t="shared" si="12"/>
        <v>38</v>
      </c>
      <c r="E29" s="186">
        <f t="shared" si="12"/>
        <v>38</v>
      </c>
      <c r="F29" s="186">
        <f t="shared" si="12"/>
        <v>38</v>
      </c>
      <c r="G29" s="186">
        <f t="shared" si="12"/>
        <v>38</v>
      </c>
      <c r="H29" s="186">
        <f t="shared" si="12"/>
        <v>38</v>
      </c>
      <c r="I29" s="186">
        <f t="shared" si="12"/>
        <v>38</v>
      </c>
      <c r="J29" s="186">
        <f t="shared" si="12"/>
        <v>38</v>
      </c>
      <c r="K29" s="186">
        <f t="shared" si="12"/>
        <v>38</v>
      </c>
      <c r="L29" s="186">
        <f t="shared" si="12"/>
        <v>38</v>
      </c>
      <c r="M29" s="186">
        <f t="shared" si="12"/>
        <v>38</v>
      </c>
      <c r="N29" s="186">
        <f t="shared" si="12"/>
        <v>38</v>
      </c>
      <c r="O29" s="188">
        <f>Össz.önkor.mérleg.!O19</f>
        <v>0</v>
      </c>
      <c r="P29" s="31"/>
    </row>
    <row r="30" spans="1:256" s="28" customFormat="1" ht="12.75" customHeight="1" x14ac:dyDescent="0.25">
      <c r="A30" s="21" t="s">
        <v>545</v>
      </c>
      <c r="B30" s="28" t="s">
        <v>464</v>
      </c>
      <c r="C30" s="186">
        <v>3993</v>
      </c>
      <c r="D30" s="186">
        <f t="shared" si="12"/>
        <v>3993</v>
      </c>
      <c r="E30" s="186">
        <f t="shared" si="12"/>
        <v>3993</v>
      </c>
      <c r="F30" s="186">
        <f t="shared" si="12"/>
        <v>3993</v>
      </c>
      <c r="G30" s="186">
        <f t="shared" si="12"/>
        <v>3993</v>
      </c>
      <c r="H30" s="186">
        <f t="shared" si="12"/>
        <v>3993</v>
      </c>
      <c r="I30" s="186">
        <f t="shared" si="12"/>
        <v>3993</v>
      </c>
      <c r="J30" s="186">
        <f t="shared" si="12"/>
        <v>3993</v>
      </c>
      <c r="K30" s="186">
        <f t="shared" si="12"/>
        <v>3993</v>
      </c>
      <c r="L30" s="186">
        <f t="shared" si="12"/>
        <v>3993</v>
      </c>
      <c r="M30" s="186">
        <f t="shared" si="12"/>
        <v>3993</v>
      </c>
      <c r="N30" s="186">
        <f t="shared" si="12"/>
        <v>3993</v>
      </c>
      <c r="O30" s="188">
        <f>Össz.önkor.mérleg.!O17</f>
        <v>67992</v>
      </c>
      <c r="P30" s="31"/>
    </row>
    <row r="31" spans="1:256" s="28" customFormat="1" ht="15.75" customHeight="1" x14ac:dyDescent="0.25">
      <c r="A31" s="21" t="s">
        <v>546</v>
      </c>
      <c r="B31" s="28" t="s">
        <v>465</v>
      </c>
      <c r="C31" s="186">
        <f t="shared" si="10"/>
        <v>28024.583333333332</v>
      </c>
      <c r="D31" s="186">
        <f t="shared" si="12"/>
        <v>28024.583333333332</v>
      </c>
      <c r="E31" s="186">
        <f t="shared" si="12"/>
        <v>28024.583333333332</v>
      </c>
      <c r="F31" s="186">
        <f t="shared" si="12"/>
        <v>28024.583333333332</v>
      </c>
      <c r="G31" s="186">
        <f t="shared" si="12"/>
        <v>28024.583333333332</v>
      </c>
      <c r="H31" s="186">
        <f t="shared" si="12"/>
        <v>28024.583333333332</v>
      </c>
      <c r="I31" s="186">
        <f t="shared" si="12"/>
        <v>28024.583333333332</v>
      </c>
      <c r="J31" s="186">
        <f t="shared" si="12"/>
        <v>28024.583333333332</v>
      </c>
      <c r="K31" s="186">
        <f t="shared" si="12"/>
        <v>28024.583333333332</v>
      </c>
      <c r="L31" s="186">
        <f t="shared" si="12"/>
        <v>28024.583333333332</v>
      </c>
      <c r="M31" s="186">
        <f t="shared" si="12"/>
        <v>28024.583333333332</v>
      </c>
      <c r="N31" s="186">
        <f t="shared" si="12"/>
        <v>28024.583333333332</v>
      </c>
      <c r="O31" s="188">
        <f>Össz.önkor.mérleg.!O18</f>
        <v>336295</v>
      </c>
      <c r="P31" s="31"/>
    </row>
    <row r="32" spans="1:256" s="28" customFormat="1" ht="15" customHeight="1" x14ac:dyDescent="0.25">
      <c r="A32" s="21" t="s">
        <v>564</v>
      </c>
      <c r="B32" s="28" t="s">
        <v>649</v>
      </c>
      <c r="C32" s="186">
        <f t="shared" si="10"/>
        <v>4914.833333333333</v>
      </c>
      <c r="D32" s="186">
        <f t="shared" si="12"/>
        <v>4914.833333333333</v>
      </c>
      <c r="E32" s="186">
        <f t="shared" si="12"/>
        <v>4914.833333333333</v>
      </c>
      <c r="F32" s="186">
        <f t="shared" si="12"/>
        <v>4914.833333333333</v>
      </c>
      <c r="G32" s="186">
        <f t="shared" si="12"/>
        <v>4914.833333333333</v>
      </c>
      <c r="H32" s="186">
        <f t="shared" si="12"/>
        <v>4914.833333333333</v>
      </c>
      <c r="I32" s="186">
        <f t="shared" si="12"/>
        <v>4914.833333333333</v>
      </c>
      <c r="J32" s="186">
        <f t="shared" si="12"/>
        <v>4914.833333333333</v>
      </c>
      <c r="K32" s="186">
        <f t="shared" si="12"/>
        <v>4914.833333333333</v>
      </c>
      <c r="L32" s="186">
        <f t="shared" si="12"/>
        <v>4914.833333333333</v>
      </c>
      <c r="M32" s="186">
        <f t="shared" si="12"/>
        <v>4914.833333333333</v>
      </c>
      <c r="N32" s="186">
        <f t="shared" si="12"/>
        <v>4914.833333333333</v>
      </c>
      <c r="O32" s="188">
        <f>Össz.önkor.mérleg.!O20+Össz.önkor.mérleg.!O21</f>
        <v>58978</v>
      </c>
      <c r="P32" s="31"/>
    </row>
    <row r="33" spans="1:16" s="29" customFormat="1" ht="15.75" customHeight="1" x14ac:dyDescent="0.25">
      <c r="A33" s="21" t="s">
        <v>565</v>
      </c>
      <c r="B33" s="629" t="s">
        <v>622</v>
      </c>
      <c r="C33" s="627">
        <f>SUM(C25:C32)</f>
        <v>248785.50000000003</v>
      </c>
      <c r="D33" s="627">
        <f>SUM(D25:D32)</f>
        <v>248785.50000000003</v>
      </c>
      <c r="E33" s="627">
        <f t="shared" ref="E33:N33" si="13">SUM(E25:E32)</f>
        <v>248785.50000000003</v>
      </c>
      <c r="F33" s="627">
        <f t="shared" si="13"/>
        <v>248785.50000000003</v>
      </c>
      <c r="G33" s="627">
        <f t="shared" si="13"/>
        <v>248785.50000000003</v>
      </c>
      <c r="H33" s="627">
        <f t="shared" si="13"/>
        <v>248785.50000000003</v>
      </c>
      <c r="I33" s="627">
        <f t="shared" si="13"/>
        <v>248785.50000000003</v>
      </c>
      <c r="J33" s="627">
        <f t="shared" si="13"/>
        <v>248785.50000000003</v>
      </c>
      <c r="K33" s="627">
        <f t="shared" si="13"/>
        <v>248785.50000000003</v>
      </c>
      <c r="L33" s="627">
        <f t="shared" si="13"/>
        <v>248785.50000000003</v>
      </c>
      <c r="M33" s="627">
        <f t="shared" si="13"/>
        <v>248785.50000000003</v>
      </c>
      <c r="N33" s="627">
        <f t="shared" si="13"/>
        <v>248785.50000000003</v>
      </c>
      <c r="O33" s="628">
        <f>SUM(O25:O32)</f>
        <v>3005046</v>
      </c>
      <c r="P33" s="436"/>
    </row>
    <row r="34" spans="1:16" s="29" customFormat="1" ht="15" customHeight="1" x14ac:dyDescent="0.25">
      <c r="A34" s="21" t="s">
        <v>566</v>
      </c>
      <c r="B34" s="29" t="s">
        <v>623</v>
      </c>
      <c r="C34" s="187">
        <f t="shared" ref="C34:C39" si="14">O34/12</f>
        <v>159018</v>
      </c>
      <c r="D34" s="187">
        <f>C34</f>
        <v>159018</v>
      </c>
      <c r="E34" s="187">
        <f t="shared" ref="E34:N34" si="15">D34</f>
        <v>159018</v>
      </c>
      <c r="F34" s="187">
        <f t="shared" si="15"/>
        <v>159018</v>
      </c>
      <c r="G34" s="187">
        <f t="shared" si="15"/>
        <v>159018</v>
      </c>
      <c r="H34" s="187">
        <f t="shared" si="15"/>
        <v>159018</v>
      </c>
      <c r="I34" s="187">
        <f t="shared" si="15"/>
        <v>159018</v>
      </c>
      <c r="J34" s="187">
        <f t="shared" si="15"/>
        <v>159018</v>
      </c>
      <c r="K34" s="187">
        <f t="shared" si="15"/>
        <v>159018</v>
      </c>
      <c r="L34" s="187">
        <f t="shared" si="15"/>
        <v>159018</v>
      </c>
      <c r="M34" s="187">
        <f t="shared" si="15"/>
        <v>159018</v>
      </c>
      <c r="N34" s="187">
        <f t="shared" si="15"/>
        <v>159018</v>
      </c>
      <c r="O34" s="189">
        <f>Össz.önkor.mérleg.!O27</f>
        <v>1908216</v>
      </c>
      <c r="P34" s="436"/>
    </row>
    <row r="35" spans="1:16" s="29" customFormat="1" ht="15" customHeight="1" x14ac:dyDescent="0.25">
      <c r="A35" s="21" t="s">
        <v>567</v>
      </c>
      <c r="B35" s="29" t="s">
        <v>483</v>
      </c>
      <c r="C35" s="187">
        <f t="shared" si="14"/>
        <v>4142.916666666667</v>
      </c>
      <c r="D35" s="187">
        <f t="shared" ref="D35:N39" si="16">C35</f>
        <v>4142.916666666667</v>
      </c>
      <c r="E35" s="187">
        <f t="shared" si="16"/>
        <v>4142.916666666667</v>
      </c>
      <c r="F35" s="187">
        <f t="shared" si="16"/>
        <v>4142.916666666667</v>
      </c>
      <c r="G35" s="187">
        <f t="shared" si="16"/>
        <v>4142.916666666667</v>
      </c>
      <c r="H35" s="187">
        <f t="shared" si="16"/>
        <v>4142.916666666667</v>
      </c>
      <c r="I35" s="187">
        <f t="shared" si="16"/>
        <v>4142.916666666667</v>
      </c>
      <c r="J35" s="187">
        <f t="shared" si="16"/>
        <v>4142.916666666667</v>
      </c>
      <c r="K35" s="187">
        <f t="shared" si="16"/>
        <v>4142.916666666667</v>
      </c>
      <c r="L35" s="187">
        <f t="shared" si="16"/>
        <v>4142.916666666667</v>
      </c>
      <c r="M35" s="187">
        <f t="shared" si="16"/>
        <v>4142.916666666667</v>
      </c>
      <c r="N35" s="187">
        <f t="shared" si="16"/>
        <v>4142.916666666667</v>
      </c>
      <c r="O35" s="189">
        <f>Össz.önkor.mérleg.!O28</f>
        <v>49715</v>
      </c>
      <c r="P35" s="436"/>
    </row>
    <row r="36" spans="1:16" s="29" customFormat="1" ht="15.75" customHeight="1" x14ac:dyDescent="0.25">
      <c r="A36" s="21" t="s">
        <v>568</v>
      </c>
      <c r="B36" s="29" t="s">
        <v>466</v>
      </c>
      <c r="C36" s="187">
        <f t="shared" si="14"/>
        <v>416.66666666666669</v>
      </c>
      <c r="D36" s="187">
        <f t="shared" si="16"/>
        <v>416.66666666666669</v>
      </c>
      <c r="E36" s="187">
        <f t="shared" si="16"/>
        <v>416.66666666666669</v>
      </c>
      <c r="F36" s="187">
        <f t="shared" si="16"/>
        <v>416.66666666666669</v>
      </c>
      <c r="G36" s="187">
        <f t="shared" si="16"/>
        <v>416.66666666666669</v>
      </c>
      <c r="H36" s="187">
        <f t="shared" si="16"/>
        <v>416.66666666666669</v>
      </c>
      <c r="I36" s="187">
        <f t="shared" si="16"/>
        <v>416.66666666666669</v>
      </c>
      <c r="J36" s="187">
        <f t="shared" si="16"/>
        <v>416.66666666666669</v>
      </c>
      <c r="K36" s="187">
        <f t="shared" si="16"/>
        <v>416.66666666666669</v>
      </c>
      <c r="L36" s="187">
        <f t="shared" si="16"/>
        <v>416.66666666666669</v>
      </c>
      <c r="M36" s="187">
        <f t="shared" si="16"/>
        <v>416.66666666666669</v>
      </c>
      <c r="N36" s="187">
        <f t="shared" si="16"/>
        <v>416.66666666666669</v>
      </c>
      <c r="O36" s="189">
        <v>5000</v>
      </c>
    </row>
    <row r="37" spans="1:16" s="29" customFormat="1" ht="15.75" customHeight="1" x14ac:dyDescent="0.25">
      <c r="A37" s="21" t="s">
        <v>569</v>
      </c>
      <c r="B37" s="28" t="s">
        <v>647</v>
      </c>
      <c r="C37" s="187">
        <f t="shared" si="14"/>
        <v>7519.666666666667</v>
      </c>
      <c r="D37" s="187">
        <f t="shared" si="16"/>
        <v>7519.666666666667</v>
      </c>
      <c r="E37" s="187">
        <f t="shared" si="16"/>
        <v>7519.666666666667</v>
      </c>
      <c r="F37" s="187">
        <f t="shared" si="16"/>
        <v>7519.666666666667</v>
      </c>
      <c r="G37" s="187">
        <f t="shared" si="16"/>
        <v>7519.666666666667</v>
      </c>
      <c r="H37" s="187">
        <f t="shared" si="16"/>
        <v>7519.666666666667</v>
      </c>
      <c r="I37" s="187">
        <f t="shared" si="16"/>
        <v>7519.666666666667</v>
      </c>
      <c r="J37" s="187">
        <f t="shared" si="16"/>
        <v>7519.666666666667</v>
      </c>
      <c r="K37" s="187">
        <f t="shared" si="16"/>
        <v>7519.666666666667</v>
      </c>
      <c r="L37" s="187">
        <f t="shared" si="16"/>
        <v>7519.666666666667</v>
      </c>
      <c r="M37" s="187">
        <f t="shared" si="16"/>
        <v>7519.666666666667</v>
      </c>
      <c r="N37" s="187">
        <f t="shared" si="16"/>
        <v>7519.666666666667</v>
      </c>
      <c r="O37" s="189">
        <f>Össz.önkor.mérleg.!O30</f>
        <v>90236</v>
      </c>
    </row>
    <row r="38" spans="1:16" s="29" customFormat="1" ht="16.5" customHeight="1" x14ac:dyDescent="0.25">
      <c r="A38" s="21" t="s">
        <v>570</v>
      </c>
      <c r="B38" s="28" t="s">
        <v>648</v>
      </c>
      <c r="C38" s="187">
        <f t="shared" si="14"/>
        <v>4849.5</v>
      </c>
      <c r="D38" s="187">
        <f t="shared" si="16"/>
        <v>4849.5</v>
      </c>
      <c r="E38" s="187">
        <f t="shared" si="16"/>
        <v>4849.5</v>
      </c>
      <c r="F38" s="187">
        <f t="shared" si="16"/>
        <v>4849.5</v>
      </c>
      <c r="G38" s="187">
        <f t="shared" si="16"/>
        <v>4849.5</v>
      </c>
      <c r="H38" s="187">
        <f t="shared" si="16"/>
        <v>4849.5</v>
      </c>
      <c r="I38" s="187">
        <f t="shared" si="16"/>
        <v>4849.5</v>
      </c>
      <c r="J38" s="187">
        <f t="shared" si="16"/>
        <v>4849.5</v>
      </c>
      <c r="K38" s="187">
        <f t="shared" si="16"/>
        <v>4849.5</v>
      </c>
      <c r="L38" s="187">
        <f t="shared" si="16"/>
        <v>4849.5</v>
      </c>
      <c r="M38" s="187">
        <f t="shared" si="16"/>
        <v>4849.5</v>
      </c>
      <c r="N38" s="187">
        <f t="shared" si="16"/>
        <v>4849.5</v>
      </c>
      <c r="O38" s="189">
        <f>Össz.önkor.mérleg.!O32</f>
        <v>58194</v>
      </c>
      <c r="P38" s="436"/>
    </row>
    <row r="39" spans="1:16" s="29" customFormat="1" ht="15" customHeight="1" x14ac:dyDescent="0.25">
      <c r="A39" s="21" t="s">
        <v>571</v>
      </c>
      <c r="B39" s="28" t="s">
        <v>650</v>
      </c>
      <c r="C39" s="187">
        <f t="shared" si="14"/>
        <v>14187.416666666666</v>
      </c>
      <c r="D39" s="187">
        <f t="shared" si="16"/>
        <v>14187.416666666666</v>
      </c>
      <c r="E39" s="187">
        <f t="shared" si="16"/>
        <v>14187.416666666666</v>
      </c>
      <c r="F39" s="187">
        <f t="shared" si="16"/>
        <v>14187.416666666666</v>
      </c>
      <c r="G39" s="187">
        <f t="shared" si="16"/>
        <v>14187.416666666666</v>
      </c>
      <c r="H39" s="187">
        <f t="shared" si="16"/>
        <v>14187.416666666666</v>
      </c>
      <c r="I39" s="187">
        <f t="shared" si="16"/>
        <v>14187.416666666666</v>
      </c>
      <c r="J39" s="187">
        <f t="shared" si="16"/>
        <v>14187.416666666666</v>
      </c>
      <c r="K39" s="187">
        <f t="shared" si="16"/>
        <v>14187.416666666666</v>
      </c>
      <c r="L39" s="187">
        <f t="shared" si="16"/>
        <v>14187.416666666666</v>
      </c>
      <c r="M39" s="187">
        <f t="shared" si="16"/>
        <v>14187.416666666666</v>
      </c>
      <c r="N39" s="187">
        <f t="shared" si="16"/>
        <v>14187.416666666666</v>
      </c>
      <c r="O39" s="189">
        <f>Össz.önkor.mérleg.!O33</f>
        <v>170249</v>
      </c>
      <c r="P39" s="436"/>
    </row>
    <row r="40" spans="1:16" s="34" customFormat="1" ht="15" customHeight="1" x14ac:dyDescent="0.25">
      <c r="A40" s="21" t="s">
        <v>572</v>
      </c>
      <c r="B40" s="577" t="s">
        <v>651</v>
      </c>
      <c r="C40" s="578">
        <f t="shared" ref="C40:O40" si="17">SUM(C34:C39)</f>
        <v>190134.16666666663</v>
      </c>
      <c r="D40" s="578">
        <f t="shared" si="17"/>
        <v>190134.16666666663</v>
      </c>
      <c r="E40" s="578">
        <f t="shared" si="17"/>
        <v>190134.16666666663</v>
      </c>
      <c r="F40" s="578">
        <f t="shared" si="17"/>
        <v>190134.16666666663</v>
      </c>
      <c r="G40" s="578">
        <f t="shared" si="17"/>
        <v>190134.16666666663</v>
      </c>
      <c r="H40" s="578">
        <f t="shared" si="17"/>
        <v>190134.16666666663</v>
      </c>
      <c r="I40" s="578">
        <f t="shared" si="17"/>
        <v>190134.16666666663</v>
      </c>
      <c r="J40" s="578">
        <f t="shared" si="17"/>
        <v>190134.16666666663</v>
      </c>
      <c r="K40" s="578">
        <f t="shared" si="17"/>
        <v>190134.16666666663</v>
      </c>
      <c r="L40" s="578">
        <f t="shared" si="17"/>
        <v>190134.16666666663</v>
      </c>
      <c r="M40" s="578">
        <f t="shared" si="17"/>
        <v>190134.16666666663</v>
      </c>
      <c r="N40" s="578">
        <f t="shared" si="17"/>
        <v>190134.16666666663</v>
      </c>
      <c r="O40" s="578">
        <f t="shared" si="17"/>
        <v>2281610</v>
      </c>
      <c r="P40" s="33"/>
    </row>
    <row r="41" spans="1:16" s="34" customFormat="1" ht="15" customHeight="1" x14ac:dyDescent="0.25">
      <c r="A41" s="21" t="s">
        <v>624</v>
      </c>
      <c r="B41" s="623" t="s">
        <v>1045</v>
      </c>
      <c r="C41" s="624">
        <f>O41/12</f>
        <v>3008.25</v>
      </c>
      <c r="D41" s="624">
        <f>C41</f>
        <v>3008.25</v>
      </c>
      <c r="E41" s="624">
        <f t="shared" ref="E41:N41" si="18">D41</f>
        <v>3008.25</v>
      </c>
      <c r="F41" s="624">
        <f t="shared" si="18"/>
        <v>3008.25</v>
      </c>
      <c r="G41" s="624">
        <f t="shared" si="18"/>
        <v>3008.25</v>
      </c>
      <c r="H41" s="624">
        <f t="shared" si="18"/>
        <v>3008.25</v>
      </c>
      <c r="I41" s="624">
        <f t="shared" si="18"/>
        <v>3008.25</v>
      </c>
      <c r="J41" s="624">
        <f t="shared" si="18"/>
        <v>3008.25</v>
      </c>
      <c r="K41" s="624">
        <f t="shared" si="18"/>
        <v>3008.25</v>
      </c>
      <c r="L41" s="624">
        <f t="shared" si="18"/>
        <v>3008.25</v>
      </c>
      <c r="M41" s="624">
        <f t="shared" si="18"/>
        <v>3008.25</v>
      </c>
      <c r="N41" s="624">
        <f t="shared" si="18"/>
        <v>3008.25</v>
      </c>
      <c r="O41" s="622">
        <f>Össz.önkor.mérleg.!O47</f>
        <v>36099</v>
      </c>
      <c r="P41" s="33"/>
    </row>
    <row r="42" spans="1:16" s="28" customFormat="1" ht="15.75" customHeight="1" x14ac:dyDescent="0.25">
      <c r="A42" s="21" t="s">
        <v>625</v>
      </c>
      <c r="B42" s="621" t="s">
        <v>1044</v>
      </c>
      <c r="C42" s="186">
        <f>SUM(C41)</f>
        <v>3008.25</v>
      </c>
      <c r="D42" s="186">
        <f>SUM(D41)</f>
        <v>3008.25</v>
      </c>
      <c r="E42" s="186">
        <f t="shared" ref="E42:N42" si="19">SUM(E41)</f>
        <v>3008.25</v>
      </c>
      <c r="F42" s="186">
        <f t="shared" si="19"/>
        <v>3008.25</v>
      </c>
      <c r="G42" s="186">
        <f t="shared" si="19"/>
        <v>3008.25</v>
      </c>
      <c r="H42" s="186">
        <f t="shared" si="19"/>
        <v>3008.25</v>
      </c>
      <c r="I42" s="186">
        <f t="shared" si="19"/>
        <v>3008.25</v>
      </c>
      <c r="J42" s="186">
        <f t="shared" si="19"/>
        <v>3008.25</v>
      </c>
      <c r="K42" s="186">
        <f t="shared" si="19"/>
        <v>3008.25</v>
      </c>
      <c r="L42" s="186">
        <f t="shared" si="19"/>
        <v>3008.25</v>
      </c>
      <c r="M42" s="186">
        <f t="shared" si="19"/>
        <v>3008.25</v>
      </c>
      <c r="N42" s="186">
        <f t="shared" si="19"/>
        <v>3008.25</v>
      </c>
      <c r="O42" s="188">
        <f>SUM(C42:N42)</f>
        <v>36099</v>
      </c>
    </row>
    <row r="43" spans="1:16" s="30" customFormat="1" ht="16.5" customHeight="1" x14ac:dyDescent="0.25">
      <c r="A43" s="21" t="s">
        <v>626</v>
      </c>
      <c r="B43" s="581" t="s">
        <v>654</v>
      </c>
      <c r="C43" s="582">
        <f t="shared" ref="C43:N43" si="20">C40+C33+C42</f>
        <v>441927.91666666663</v>
      </c>
      <c r="D43" s="582">
        <f t="shared" si="20"/>
        <v>441927.91666666663</v>
      </c>
      <c r="E43" s="582">
        <f t="shared" si="20"/>
        <v>441927.91666666663</v>
      </c>
      <c r="F43" s="582">
        <f t="shared" si="20"/>
        <v>441927.91666666663</v>
      </c>
      <c r="G43" s="582">
        <f t="shared" si="20"/>
        <v>441927.91666666663</v>
      </c>
      <c r="H43" s="582">
        <f t="shared" si="20"/>
        <v>441927.91666666663</v>
      </c>
      <c r="I43" s="582">
        <f t="shared" si="20"/>
        <v>441927.91666666663</v>
      </c>
      <c r="J43" s="582">
        <f t="shared" si="20"/>
        <v>441927.91666666663</v>
      </c>
      <c r="K43" s="582">
        <f t="shared" si="20"/>
        <v>441927.91666666663</v>
      </c>
      <c r="L43" s="582">
        <f t="shared" si="20"/>
        <v>441927.91666666663</v>
      </c>
      <c r="M43" s="582">
        <f t="shared" si="20"/>
        <v>441927.91666666663</v>
      </c>
      <c r="N43" s="582">
        <f t="shared" si="20"/>
        <v>441927.91666666663</v>
      </c>
      <c r="O43" s="583">
        <f>O33+O40+O41</f>
        <v>5322755</v>
      </c>
      <c r="P43" s="32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2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4" width="7.28515625" style="17" customWidth="1"/>
    <col min="15" max="15" width="6.7109375" style="17" customWidth="1"/>
    <col min="16" max="17" width="5.140625" style="17" customWidth="1"/>
    <col min="18" max="18" width="5.7109375" style="17" customWidth="1"/>
    <col min="19" max="21" width="6.7109375" style="17" customWidth="1"/>
    <col min="22" max="22" width="6.42578125" style="17" customWidth="1"/>
    <col min="23" max="23" width="6.7109375" style="17" customWidth="1"/>
    <col min="24" max="25" width="6.85546875" style="17" customWidth="1"/>
    <col min="26" max="26" width="6.5703125" style="17" customWidth="1"/>
    <col min="27" max="29" width="7.140625" style="17" customWidth="1"/>
    <col min="30" max="30" width="6" style="17" customWidth="1"/>
    <col min="31" max="31" width="7.5703125" style="17" customWidth="1"/>
    <col min="32" max="16384" width="9.140625" style="16"/>
  </cols>
  <sheetData>
    <row r="1" spans="1:32" ht="15.75" customHeight="1" x14ac:dyDescent="0.25">
      <c r="A1" s="1651" t="s">
        <v>1298</v>
      </c>
      <c r="B1" s="1651"/>
      <c r="C1" s="1651"/>
      <c r="D1" s="1651"/>
      <c r="E1" s="1651"/>
      <c r="F1" s="1651"/>
      <c r="G1" s="1651"/>
      <c r="H1" s="1651"/>
      <c r="I1" s="1651"/>
      <c r="J1" s="1651"/>
      <c r="K1" s="1651"/>
      <c r="L1" s="1651"/>
      <c r="M1" s="1651"/>
      <c r="N1" s="1651"/>
      <c r="O1" s="1651"/>
      <c r="P1" s="1651"/>
      <c r="Q1" s="1651"/>
      <c r="R1" s="1651"/>
      <c r="S1" s="1651"/>
      <c r="T1" s="1651"/>
      <c r="U1" s="1651"/>
      <c r="V1" s="1651"/>
      <c r="W1" s="1651"/>
      <c r="X1" s="1651"/>
      <c r="Y1" s="1651"/>
      <c r="Z1" s="1651"/>
      <c r="AA1" s="1651"/>
      <c r="AB1" s="1651"/>
      <c r="AC1" s="1651"/>
      <c r="AD1" s="1651"/>
      <c r="AE1" s="1651"/>
    </row>
    <row r="2" spans="1:32" ht="15.75" customHeight="1" x14ac:dyDescent="0.25">
      <c r="A2" s="1656" t="s">
        <v>54</v>
      </c>
      <c r="B2" s="1656"/>
      <c r="C2" s="1656"/>
      <c r="D2" s="1656"/>
      <c r="E2" s="1656"/>
      <c r="F2" s="1656"/>
      <c r="G2" s="1656"/>
      <c r="H2" s="1656"/>
      <c r="I2" s="1656"/>
      <c r="J2" s="1656"/>
      <c r="K2" s="1656"/>
      <c r="L2" s="1656"/>
      <c r="M2" s="1656"/>
      <c r="N2" s="1656"/>
      <c r="O2" s="1656"/>
      <c r="P2" s="1656"/>
      <c r="Q2" s="1656"/>
      <c r="R2" s="1656"/>
      <c r="S2" s="1656"/>
      <c r="T2" s="1656"/>
      <c r="U2" s="1656"/>
      <c r="V2" s="1656"/>
      <c r="W2" s="1656"/>
      <c r="X2" s="1656"/>
      <c r="Y2" s="1656"/>
      <c r="Z2" s="1656"/>
      <c r="AA2" s="1656"/>
      <c r="AB2" s="1656"/>
      <c r="AC2" s="1656"/>
      <c r="AD2" s="1656"/>
      <c r="AE2" s="1656"/>
    </row>
    <row r="3" spans="1:32" ht="15.75" customHeight="1" x14ac:dyDescent="0.25">
      <c r="A3" s="1656" t="s">
        <v>1138</v>
      </c>
      <c r="B3" s="1656"/>
      <c r="C3" s="1656"/>
      <c r="D3" s="1656"/>
      <c r="E3" s="1656"/>
      <c r="F3" s="1656"/>
      <c r="G3" s="1656"/>
      <c r="H3" s="1656"/>
      <c r="I3" s="1656"/>
      <c r="J3" s="1656"/>
      <c r="K3" s="1656"/>
      <c r="L3" s="1656"/>
      <c r="M3" s="1656"/>
      <c r="N3" s="1656"/>
      <c r="O3" s="1656"/>
      <c r="P3" s="1656"/>
      <c r="Q3" s="1656"/>
      <c r="R3" s="1656"/>
      <c r="S3" s="1656"/>
      <c r="T3" s="1656"/>
      <c r="U3" s="1656"/>
      <c r="V3" s="1656"/>
      <c r="W3" s="1656"/>
      <c r="X3" s="1656"/>
      <c r="Y3" s="1656"/>
      <c r="Z3" s="1656"/>
      <c r="AA3" s="1656"/>
      <c r="AB3" s="1656"/>
      <c r="AC3" s="1656"/>
      <c r="AD3" s="1656"/>
      <c r="AE3" s="1656"/>
    </row>
    <row r="4" spans="1:32" ht="15.75" customHeight="1" x14ac:dyDescent="0.25"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 t="s">
        <v>655</v>
      </c>
    </row>
    <row r="5" spans="1:32" ht="27.75" customHeight="1" x14ac:dyDescent="0.25">
      <c r="A5" s="1659" t="s">
        <v>70</v>
      </c>
      <c r="B5" s="38" t="s">
        <v>57</v>
      </c>
      <c r="C5" s="1657" t="s">
        <v>58</v>
      </c>
      <c r="D5" s="1657"/>
      <c r="E5" s="1657" t="s">
        <v>59</v>
      </c>
      <c r="F5" s="1657"/>
      <c r="G5" s="1657" t="s">
        <v>60</v>
      </c>
      <c r="H5" s="1657"/>
      <c r="I5" s="1657"/>
      <c r="J5" s="1657"/>
      <c r="K5" s="1660" t="s">
        <v>470</v>
      </c>
      <c r="L5" s="1660"/>
      <c r="M5" s="1657" t="s">
        <v>471</v>
      </c>
      <c r="N5" s="1657"/>
      <c r="O5" s="1657"/>
      <c r="P5" s="1657" t="s">
        <v>472</v>
      </c>
      <c r="Q5" s="1657"/>
      <c r="R5" s="1657"/>
      <c r="S5" s="1658" t="s">
        <v>592</v>
      </c>
      <c r="T5" s="1658"/>
      <c r="U5" s="1658"/>
      <c r="V5" s="1658"/>
      <c r="W5" s="1658"/>
      <c r="X5" s="1657" t="s">
        <v>600</v>
      </c>
      <c r="Y5" s="1657"/>
      <c r="Z5" s="1657"/>
      <c r="AA5" s="1657" t="s">
        <v>601</v>
      </c>
      <c r="AB5" s="1657"/>
      <c r="AC5" s="1657"/>
      <c r="AD5" s="1657"/>
      <c r="AE5" s="1657"/>
    </row>
    <row r="6" spans="1:32" s="4" customFormat="1" ht="30.75" customHeight="1" x14ac:dyDescent="0.2">
      <c r="A6" s="1659"/>
      <c r="B6" s="1623" t="s">
        <v>656</v>
      </c>
      <c r="C6" s="1664" t="s">
        <v>657</v>
      </c>
      <c r="D6" s="1664"/>
      <c r="E6" s="1664"/>
      <c r="F6" s="1664"/>
      <c r="G6" s="1664" t="s">
        <v>658</v>
      </c>
      <c r="H6" s="1664"/>
      <c r="I6" s="1664"/>
      <c r="J6" s="1664"/>
      <c r="K6" s="1664"/>
      <c r="L6" s="1664"/>
      <c r="M6" s="1662" t="s">
        <v>659</v>
      </c>
      <c r="N6" s="1662"/>
      <c r="O6" s="1662"/>
      <c r="P6" s="1662"/>
      <c r="Q6" s="1662"/>
      <c r="R6" s="1662"/>
      <c r="S6" s="1662" t="s">
        <v>529</v>
      </c>
      <c r="T6" s="1662"/>
      <c r="U6" s="1662"/>
      <c r="V6" s="1662"/>
      <c r="W6" s="1662"/>
      <c r="X6" s="1662"/>
      <c r="Y6" s="1662"/>
      <c r="Z6" s="1662"/>
      <c r="AA6" s="1663" t="s">
        <v>660</v>
      </c>
      <c r="AB6" s="1663"/>
      <c r="AC6" s="1663"/>
      <c r="AD6" s="1663"/>
      <c r="AE6" s="1663"/>
    </row>
    <row r="7" spans="1:32" s="4" customFormat="1" ht="40.5" customHeight="1" x14ac:dyDescent="0.2">
      <c r="A7" s="1659"/>
      <c r="B7" s="1623"/>
      <c r="C7" s="1654" t="s">
        <v>661</v>
      </c>
      <c r="D7" s="1654"/>
      <c r="E7" s="1661" t="s">
        <v>662</v>
      </c>
      <c r="F7" s="1661"/>
      <c r="G7" s="1654" t="s">
        <v>663</v>
      </c>
      <c r="H7" s="1654"/>
      <c r="I7" s="1654"/>
      <c r="J7" s="1654"/>
      <c r="K7" s="1654" t="s">
        <v>662</v>
      </c>
      <c r="L7" s="1654"/>
      <c r="M7" s="1653" t="s">
        <v>663</v>
      </c>
      <c r="N7" s="1653"/>
      <c r="O7" s="1653"/>
      <c r="P7" s="1654" t="s">
        <v>662</v>
      </c>
      <c r="Q7" s="1654"/>
      <c r="R7" s="1654"/>
      <c r="S7" s="1653" t="s">
        <v>663</v>
      </c>
      <c r="T7" s="1653"/>
      <c r="U7" s="1653"/>
      <c r="V7" s="1653"/>
      <c r="W7" s="1653"/>
      <c r="X7" s="1653" t="s">
        <v>664</v>
      </c>
      <c r="Y7" s="1653"/>
      <c r="Z7" s="1653"/>
      <c r="AA7" s="1663"/>
      <c r="AB7" s="1663"/>
      <c r="AC7" s="1663"/>
      <c r="AD7" s="1663"/>
      <c r="AE7" s="1663"/>
    </row>
    <row r="8" spans="1:32" s="4" customFormat="1" ht="27" customHeight="1" x14ac:dyDescent="0.2">
      <c r="A8" s="1659"/>
      <c r="B8" s="1623"/>
      <c r="C8" s="39">
        <v>42736</v>
      </c>
      <c r="D8" s="39">
        <v>43100</v>
      </c>
      <c r="E8" s="39">
        <v>42736</v>
      </c>
      <c r="F8" s="39">
        <v>43100</v>
      </c>
      <c r="G8" s="39">
        <v>42736</v>
      </c>
      <c r="H8" s="39">
        <v>43221</v>
      </c>
      <c r="I8" s="39">
        <v>43374</v>
      </c>
      <c r="J8" s="39">
        <v>43100</v>
      </c>
      <c r="K8" s="39">
        <v>42736</v>
      </c>
      <c r="L8" s="39">
        <v>43100</v>
      </c>
      <c r="M8" s="39">
        <v>42736</v>
      </c>
      <c r="N8" s="744">
        <v>43497</v>
      </c>
      <c r="O8" s="39">
        <v>43100</v>
      </c>
      <c r="P8" s="39">
        <v>42736</v>
      </c>
      <c r="Q8" s="39">
        <v>43497</v>
      </c>
      <c r="R8" s="39">
        <v>43100</v>
      </c>
      <c r="S8" s="39">
        <v>42736</v>
      </c>
      <c r="T8" s="744">
        <v>43497</v>
      </c>
      <c r="U8" s="39">
        <v>43221</v>
      </c>
      <c r="V8" s="39">
        <v>43009</v>
      </c>
      <c r="W8" s="39">
        <v>43100</v>
      </c>
      <c r="X8" s="39">
        <v>42736</v>
      </c>
      <c r="Y8" s="39">
        <v>43497</v>
      </c>
      <c r="Z8" s="39">
        <v>43100</v>
      </c>
      <c r="AA8" s="39">
        <v>42736</v>
      </c>
      <c r="AB8" s="744">
        <v>43497</v>
      </c>
      <c r="AC8" s="39">
        <v>43221</v>
      </c>
      <c r="AD8" s="595">
        <v>43009</v>
      </c>
      <c r="AE8" s="39">
        <v>43100</v>
      </c>
    </row>
    <row r="9" spans="1:32" s="4" customFormat="1" ht="13.9" customHeight="1" x14ac:dyDescent="0.25">
      <c r="A9" s="40"/>
      <c r="B9" s="2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pans="1:32" s="4" customFormat="1" ht="13.9" customHeight="1" x14ac:dyDescent="0.25">
      <c r="A10" s="40" t="s">
        <v>479</v>
      </c>
      <c r="B10" s="42" t="s">
        <v>1236</v>
      </c>
      <c r="C10" s="690">
        <v>6</v>
      </c>
      <c r="D10" s="690">
        <f>C10</f>
        <v>6</v>
      </c>
      <c r="E10" s="692"/>
      <c r="F10" s="690">
        <f>+E10</f>
        <v>0</v>
      </c>
      <c r="G10" s="43">
        <v>2</v>
      </c>
      <c r="H10" s="43"/>
      <c r="I10" s="43"/>
      <c r="J10" s="43" t="s">
        <v>665</v>
      </c>
      <c r="K10" s="43"/>
      <c r="L10" s="43"/>
      <c r="M10" s="43" t="s">
        <v>561</v>
      </c>
      <c r="N10" s="43"/>
      <c r="O10" s="43" t="s">
        <v>561</v>
      </c>
      <c r="P10" s="43" t="s">
        <v>561</v>
      </c>
      <c r="Q10" s="43"/>
      <c r="R10" s="43" t="s">
        <v>561</v>
      </c>
      <c r="S10" s="690">
        <f>C10+G10</f>
        <v>8</v>
      </c>
      <c r="T10" s="690"/>
      <c r="U10" s="690"/>
      <c r="V10" s="690">
        <v>0</v>
      </c>
      <c r="W10" s="690">
        <f>D10+J10</f>
        <v>8</v>
      </c>
      <c r="X10" s="690">
        <v>0</v>
      </c>
      <c r="Y10" s="690"/>
      <c r="Z10" s="690">
        <f>X10</f>
        <v>0</v>
      </c>
      <c r="AA10" s="693">
        <f>C10+E10/2+K10/2+P10/2+G10+M10</f>
        <v>8</v>
      </c>
      <c r="AB10" s="693"/>
      <c r="AC10" s="368"/>
      <c r="AD10" s="368"/>
      <c r="AE10" s="368">
        <f>AA10+AD10</f>
        <v>8</v>
      </c>
    </row>
    <row r="11" spans="1:32" s="4" customFormat="1" ht="13.9" customHeight="1" x14ac:dyDescent="0.25">
      <c r="A11" s="40"/>
      <c r="B11" s="27"/>
      <c r="C11" s="44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pans="1:32" s="17" customFormat="1" ht="14.45" customHeight="1" x14ac:dyDescent="0.25">
      <c r="A12" s="5" t="s">
        <v>487</v>
      </c>
      <c r="B12" s="45" t="s">
        <v>666</v>
      </c>
      <c r="C12" s="46">
        <v>3</v>
      </c>
      <c r="D12" s="47">
        <f>C12</f>
        <v>3</v>
      </c>
      <c r="E12" s="47"/>
      <c r="F12" s="47"/>
      <c r="G12" s="47">
        <v>36</v>
      </c>
      <c r="H12" s="637">
        <v>2</v>
      </c>
      <c r="I12" s="637">
        <v>-2</v>
      </c>
      <c r="J12" s="47">
        <f>G12</f>
        <v>36</v>
      </c>
      <c r="K12" s="47"/>
      <c r="L12" s="47"/>
      <c r="M12" s="47">
        <v>0</v>
      </c>
      <c r="N12" s="47"/>
      <c r="O12" s="47">
        <v>0</v>
      </c>
      <c r="P12" s="47">
        <v>0</v>
      </c>
      <c r="Q12" s="47"/>
      <c r="R12" s="47">
        <v>0</v>
      </c>
      <c r="S12" s="47">
        <f>C12+G12+M12</f>
        <v>39</v>
      </c>
      <c r="T12" s="47"/>
      <c r="U12" s="47">
        <v>2</v>
      </c>
      <c r="V12" s="596">
        <v>-2</v>
      </c>
      <c r="W12" s="47">
        <f>SUM(S12:V12)</f>
        <v>39</v>
      </c>
      <c r="X12" s="47">
        <v>0</v>
      </c>
      <c r="Y12" s="47"/>
      <c r="Z12" s="47">
        <v>0</v>
      </c>
      <c r="AA12" s="49">
        <f>S12</f>
        <v>39</v>
      </c>
      <c r="AB12" s="49"/>
      <c r="AC12" s="625">
        <v>2</v>
      </c>
      <c r="AD12" s="625">
        <f>V12</f>
        <v>-2</v>
      </c>
      <c r="AE12" s="49">
        <f>AA12+AC12+AD12</f>
        <v>39</v>
      </c>
    </row>
    <row r="13" spans="1:32" s="17" customFormat="1" ht="14.45" customHeight="1" x14ac:dyDescent="0.25">
      <c r="A13" s="5"/>
    </row>
    <row r="14" spans="1:32" ht="15.75" customHeight="1" x14ac:dyDescent="0.25">
      <c r="A14" s="5"/>
      <c r="B14" s="50"/>
      <c r="C14" s="51"/>
      <c r="D14" s="52"/>
      <c r="E14" s="52"/>
      <c r="F14" s="52"/>
      <c r="G14" s="52"/>
      <c r="H14" s="52"/>
      <c r="I14" s="52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4"/>
      <c r="X14" s="54"/>
      <c r="Y14" s="54"/>
      <c r="Z14" s="54"/>
      <c r="AA14" s="54"/>
      <c r="AB14" s="54"/>
      <c r="AC14" s="54"/>
      <c r="AD14" s="54"/>
      <c r="AE14" s="54"/>
    </row>
    <row r="15" spans="1:32" s="17" customFormat="1" ht="14.45" customHeight="1" x14ac:dyDescent="0.25">
      <c r="A15" s="5" t="s">
        <v>488</v>
      </c>
      <c r="B15" s="55" t="s">
        <v>667</v>
      </c>
      <c r="C15" s="56"/>
      <c r="D15" s="57"/>
      <c r="E15" s="57"/>
      <c r="F15" s="57"/>
      <c r="G15" s="57"/>
      <c r="H15" s="57"/>
      <c r="I15" s="57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9"/>
      <c r="X15" s="59"/>
      <c r="Y15" s="59"/>
      <c r="Z15" s="59"/>
      <c r="AA15" s="59"/>
      <c r="AB15" s="59"/>
      <c r="AC15" s="59"/>
      <c r="AD15" s="59"/>
      <c r="AE15" s="59"/>
    </row>
    <row r="16" spans="1:32" s="17" customFormat="1" ht="14.45" customHeight="1" x14ac:dyDescent="0.25">
      <c r="A16" s="5" t="s">
        <v>489</v>
      </c>
      <c r="B16" s="60" t="s">
        <v>668</v>
      </c>
      <c r="C16" s="619"/>
      <c r="D16" s="62"/>
      <c r="E16" s="62"/>
      <c r="F16" s="62"/>
      <c r="G16" s="62"/>
      <c r="H16" s="62"/>
      <c r="I16" s="62"/>
      <c r="J16" s="62"/>
      <c r="K16" s="62"/>
      <c r="L16" s="62"/>
      <c r="M16" s="636">
        <v>22.5</v>
      </c>
      <c r="N16" s="636"/>
      <c r="O16" s="637">
        <f t="shared" ref="O16:O23" si="0">M16</f>
        <v>22.5</v>
      </c>
      <c r="P16" s="636"/>
      <c r="Q16" s="636"/>
      <c r="R16" s="636"/>
      <c r="S16" s="637">
        <f t="shared" ref="S16:S24" si="1">C16+G16+M16</f>
        <v>22.5</v>
      </c>
      <c r="T16" s="637"/>
      <c r="U16" s="637"/>
      <c r="V16" s="637"/>
      <c r="W16" s="637">
        <f t="shared" ref="W16:W23" si="2">D16+J16+O16</f>
        <v>22.5</v>
      </c>
      <c r="X16" s="637"/>
      <c r="Y16" s="637"/>
      <c r="Z16" s="637"/>
      <c r="AA16" s="637">
        <f t="shared" ref="AA16:AA21" si="3">S16+X16/2</f>
        <v>22.5</v>
      </c>
      <c r="AB16" s="637"/>
      <c r="AC16" s="637"/>
      <c r="AD16" s="637"/>
      <c r="AE16" s="637">
        <f t="shared" ref="AE16:AE23" si="4">W16+Z16/2</f>
        <v>22.5</v>
      </c>
      <c r="AF16" s="620"/>
    </row>
    <row r="17" spans="1:32" s="17" customFormat="1" ht="14.45" customHeight="1" x14ac:dyDescent="0.25">
      <c r="A17" s="5" t="s">
        <v>490</v>
      </c>
      <c r="B17" s="60" t="s">
        <v>949</v>
      </c>
      <c r="C17" s="61"/>
      <c r="D17" s="62"/>
      <c r="E17" s="62"/>
      <c r="F17" s="62"/>
      <c r="G17" s="62"/>
      <c r="H17" s="62"/>
      <c r="I17" s="62"/>
      <c r="J17" s="62"/>
      <c r="K17" s="62"/>
      <c r="L17" s="62"/>
      <c r="M17" s="62">
        <v>20</v>
      </c>
      <c r="N17" s="62"/>
      <c r="O17" s="47">
        <f t="shared" si="0"/>
        <v>20</v>
      </c>
      <c r="P17" s="62"/>
      <c r="Q17" s="62"/>
      <c r="R17" s="62"/>
      <c r="S17" s="47">
        <f t="shared" si="1"/>
        <v>20</v>
      </c>
      <c r="T17" s="47"/>
      <c r="U17" s="47"/>
      <c r="V17" s="47"/>
      <c r="W17" s="47">
        <f t="shared" si="2"/>
        <v>20</v>
      </c>
      <c r="X17" s="47"/>
      <c r="Y17" s="47"/>
      <c r="Z17" s="47"/>
      <c r="AA17" s="47">
        <f t="shared" si="3"/>
        <v>20</v>
      </c>
      <c r="AB17" s="47"/>
      <c r="AC17" s="47"/>
      <c r="AD17" s="47"/>
      <c r="AE17" s="47">
        <f t="shared" si="4"/>
        <v>20</v>
      </c>
    </row>
    <row r="18" spans="1:32" s="17" customFormat="1" ht="14.45" customHeight="1" x14ac:dyDescent="0.25">
      <c r="A18" s="5" t="s">
        <v>491</v>
      </c>
      <c r="B18" s="60" t="s">
        <v>950</v>
      </c>
      <c r="C18" s="61"/>
      <c r="D18" s="62"/>
      <c r="E18" s="62"/>
      <c r="F18" s="62"/>
      <c r="G18" s="62"/>
      <c r="H18" s="62"/>
      <c r="I18" s="62"/>
      <c r="J18" s="62"/>
      <c r="K18" s="62"/>
      <c r="L18" s="62"/>
      <c r="M18" s="62">
        <v>9</v>
      </c>
      <c r="N18" s="62"/>
      <c r="O18" s="47">
        <f t="shared" si="0"/>
        <v>9</v>
      </c>
      <c r="P18" s="62"/>
      <c r="Q18" s="62"/>
      <c r="R18" s="62"/>
      <c r="S18" s="47">
        <f t="shared" si="1"/>
        <v>9</v>
      </c>
      <c r="T18" s="47"/>
      <c r="U18" s="47"/>
      <c r="V18" s="47"/>
      <c r="W18" s="47">
        <f t="shared" si="2"/>
        <v>9</v>
      </c>
      <c r="X18" s="47"/>
      <c r="Y18" s="47"/>
      <c r="Z18" s="47"/>
      <c r="AA18" s="47">
        <f t="shared" si="3"/>
        <v>9</v>
      </c>
      <c r="AB18" s="47"/>
      <c r="AC18" s="47"/>
      <c r="AD18" s="47"/>
      <c r="AE18" s="47">
        <f t="shared" si="4"/>
        <v>9</v>
      </c>
    </row>
    <row r="19" spans="1:32" s="17" customFormat="1" ht="14.45" customHeight="1" x14ac:dyDescent="0.25">
      <c r="A19" s="5" t="s">
        <v>492</v>
      </c>
      <c r="B19" s="60" t="s">
        <v>951</v>
      </c>
      <c r="C19" s="61"/>
      <c r="D19" s="62"/>
      <c r="E19" s="62"/>
      <c r="F19" s="62"/>
      <c r="G19" s="62"/>
      <c r="H19" s="62"/>
      <c r="I19" s="62"/>
      <c r="J19" s="62"/>
      <c r="K19" s="62"/>
      <c r="L19" s="62"/>
      <c r="M19" s="62">
        <v>11</v>
      </c>
      <c r="N19" s="62"/>
      <c r="O19" s="47">
        <f t="shared" si="0"/>
        <v>11</v>
      </c>
      <c r="P19" s="62"/>
      <c r="Q19" s="62"/>
      <c r="R19" s="62"/>
      <c r="S19" s="47">
        <f t="shared" si="1"/>
        <v>11</v>
      </c>
      <c r="T19" s="47"/>
      <c r="U19" s="47"/>
      <c r="V19" s="47"/>
      <c r="W19" s="47">
        <f t="shared" si="2"/>
        <v>11</v>
      </c>
      <c r="X19" s="47"/>
      <c r="Y19" s="47"/>
      <c r="Z19" s="47"/>
      <c r="AA19" s="47">
        <f t="shared" si="3"/>
        <v>11</v>
      </c>
      <c r="AB19" s="47"/>
      <c r="AC19" s="47"/>
      <c r="AD19" s="47"/>
      <c r="AE19" s="47">
        <f t="shared" si="4"/>
        <v>11</v>
      </c>
    </row>
    <row r="20" spans="1:32" s="17" customFormat="1" ht="14.45" customHeight="1" x14ac:dyDescent="0.25">
      <c r="A20" s="5" t="s">
        <v>493</v>
      </c>
      <c r="B20" s="60" t="s">
        <v>669</v>
      </c>
      <c r="C20" s="61"/>
      <c r="D20" s="62"/>
      <c r="E20" s="62"/>
      <c r="F20" s="62"/>
      <c r="G20" s="62"/>
      <c r="H20" s="62"/>
      <c r="I20" s="62"/>
      <c r="J20" s="62"/>
      <c r="K20" s="62"/>
      <c r="L20" s="62"/>
      <c r="M20" s="62">
        <v>1</v>
      </c>
      <c r="N20" s="62"/>
      <c r="O20" s="47">
        <f t="shared" si="0"/>
        <v>1</v>
      </c>
      <c r="P20" s="62"/>
      <c r="Q20" s="62"/>
      <c r="R20" s="62"/>
      <c r="S20" s="47">
        <f t="shared" si="1"/>
        <v>1</v>
      </c>
      <c r="T20" s="47"/>
      <c r="U20" s="47"/>
      <c r="V20" s="47"/>
      <c r="W20" s="47">
        <f t="shared" si="2"/>
        <v>1</v>
      </c>
      <c r="X20" s="47"/>
      <c r="Y20" s="47"/>
      <c r="Z20" s="47"/>
      <c r="AA20" s="47">
        <f t="shared" si="3"/>
        <v>1</v>
      </c>
      <c r="AB20" s="47"/>
      <c r="AC20" s="47"/>
      <c r="AD20" s="47"/>
      <c r="AE20" s="47">
        <f t="shared" si="4"/>
        <v>1</v>
      </c>
    </row>
    <row r="21" spans="1:32" s="17" customFormat="1" ht="14.45" customHeight="1" x14ac:dyDescent="0.25">
      <c r="A21" s="5" t="s">
        <v>494</v>
      </c>
      <c r="B21" s="60" t="s">
        <v>670</v>
      </c>
      <c r="C21" s="61"/>
      <c r="D21" s="62"/>
      <c r="E21" s="62"/>
      <c r="F21" s="62"/>
      <c r="G21" s="62"/>
      <c r="H21" s="62"/>
      <c r="I21" s="62"/>
      <c r="J21" s="62"/>
      <c r="K21" s="62"/>
      <c r="L21" s="62"/>
      <c r="M21" s="62">
        <v>5</v>
      </c>
      <c r="N21" s="62"/>
      <c r="O21" s="47">
        <f t="shared" si="0"/>
        <v>5</v>
      </c>
      <c r="P21" s="62"/>
      <c r="Q21" s="62"/>
      <c r="R21" s="62"/>
      <c r="S21" s="47">
        <f t="shared" si="1"/>
        <v>5</v>
      </c>
      <c r="T21" s="47"/>
      <c r="U21" s="47"/>
      <c r="V21" s="47"/>
      <c r="W21" s="47">
        <f t="shared" si="2"/>
        <v>5</v>
      </c>
      <c r="X21" s="47"/>
      <c r="Y21" s="47"/>
      <c r="Z21" s="47"/>
      <c r="AA21" s="47">
        <f t="shared" si="3"/>
        <v>5</v>
      </c>
      <c r="AB21" s="47"/>
      <c r="AC21" s="47"/>
      <c r="AD21" s="47"/>
      <c r="AE21" s="47">
        <f t="shared" si="4"/>
        <v>5</v>
      </c>
    </row>
    <row r="22" spans="1:32" s="17" customFormat="1" ht="14.45" customHeight="1" x14ac:dyDescent="0.25">
      <c r="A22" s="5" t="s">
        <v>531</v>
      </c>
      <c r="B22" s="60" t="s">
        <v>933</v>
      </c>
      <c r="C22" s="61"/>
      <c r="D22" s="62"/>
      <c r="E22" s="62"/>
      <c r="F22" s="62"/>
      <c r="G22" s="62"/>
      <c r="H22" s="62"/>
      <c r="I22" s="62"/>
      <c r="J22" s="62"/>
      <c r="K22" s="62"/>
      <c r="L22" s="62"/>
      <c r="M22" s="62">
        <v>3</v>
      </c>
      <c r="N22" s="62"/>
      <c r="O22" s="47">
        <f t="shared" si="0"/>
        <v>3</v>
      </c>
      <c r="P22" s="62"/>
      <c r="Q22" s="62"/>
      <c r="R22" s="62"/>
      <c r="S22" s="47">
        <f t="shared" si="1"/>
        <v>3</v>
      </c>
      <c r="T22" s="47"/>
      <c r="U22" s="47"/>
      <c r="V22" s="47"/>
      <c r="W22" s="47">
        <f t="shared" si="2"/>
        <v>3</v>
      </c>
      <c r="X22" s="47"/>
      <c r="Y22" s="47"/>
      <c r="Z22" s="47"/>
      <c r="AA22" s="47">
        <v>3</v>
      </c>
      <c r="AB22" s="47"/>
      <c r="AC22" s="47"/>
      <c r="AD22" s="47"/>
      <c r="AE22" s="47">
        <f t="shared" si="4"/>
        <v>3</v>
      </c>
    </row>
    <row r="23" spans="1:32" s="17" customFormat="1" ht="14.45" customHeight="1" x14ac:dyDescent="0.25">
      <c r="A23" s="5" t="s">
        <v>532</v>
      </c>
      <c r="B23" s="60" t="s">
        <v>671</v>
      </c>
      <c r="C23" s="61"/>
      <c r="D23" s="62"/>
      <c r="E23" s="62"/>
      <c r="F23" s="62"/>
      <c r="G23" s="62"/>
      <c r="H23" s="62"/>
      <c r="I23" s="62"/>
      <c r="J23" s="62"/>
      <c r="K23" s="62"/>
      <c r="L23" s="62"/>
      <c r="M23" s="62">
        <v>4</v>
      </c>
      <c r="N23" s="62"/>
      <c r="O23" s="47">
        <f t="shared" si="0"/>
        <v>4</v>
      </c>
      <c r="P23" s="62"/>
      <c r="Q23" s="62"/>
      <c r="R23" s="62"/>
      <c r="S23" s="47">
        <f t="shared" si="1"/>
        <v>4</v>
      </c>
      <c r="T23" s="47"/>
      <c r="U23" s="47"/>
      <c r="V23" s="47"/>
      <c r="W23" s="47">
        <f t="shared" si="2"/>
        <v>4</v>
      </c>
      <c r="X23" s="47"/>
      <c r="Y23" s="47"/>
      <c r="Z23" s="47"/>
      <c r="AA23" s="47">
        <f>S23+X23/2</f>
        <v>4</v>
      </c>
      <c r="AB23" s="47"/>
      <c r="AC23" s="47"/>
      <c r="AD23" s="47"/>
      <c r="AE23" s="47">
        <f t="shared" si="4"/>
        <v>4</v>
      </c>
    </row>
    <row r="24" spans="1:32" s="17" customFormat="1" ht="14.45" customHeight="1" x14ac:dyDescent="0.25">
      <c r="A24" s="5" t="s">
        <v>533</v>
      </c>
      <c r="B24" s="45" t="s">
        <v>672</v>
      </c>
      <c r="C24" s="46"/>
      <c r="D24" s="63"/>
      <c r="E24" s="63"/>
      <c r="F24" s="63"/>
      <c r="G24" s="63"/>
      <c r="H24" s="63"/>
      <c r="I24" s="63"/>
      <c r="J24" s="62"/>
      <c r="K24" s="62"/>
      <c r="L24" s="62"/>
      <c r="M24" s="47">
        <f>SUM(M16:M23)</f>
        <v>75.5</v>
      </c>
      <c r="N24" s="47"/>
      <c r="O24" s="47">
        <f>SUM(O16:O23)</f>
        <v>75.5</v>
      </c>
      <c r="P24" s="47">
        <v>0</v>
      </c>
      <c r="Q24" s="47"/>
      <c r="R24" s="47">
        <v>0</v>
      </c>
      <c r="S24" s="47">
        <f t="shared" si="1"/>
        <v>75.5</v>
      </c>
      <c r="T24" s="47"/>
      <c r="U24" s="47"/>
      <c r="V24" s="47"/>
      <c r="W24" s="47">
        <f>SUM(W16:W23)</f>
        <v>75.5</v>
      </c>
      <c r="X24" s="47">
        <v>0</v>
      </c>
      <c r="Y24" s="47"/>
      <c r="Z24" s="47">
        <v>0</v>
      </c>
      <c r="AA24" s="192">
        <f>S24+X24/2</f>
        <v>75.5</v>
      </c>
      <c r="AB24" s="192"/>
      <c r="AC24" s="192"/>
      <c r="AD24" s="596">
        <v>0</v>
      </c>
      <c r="AE24" s="47">
        <f>SUM(AE16:AE23)</f>
        <v>75.5</v>
      </c>
      <c r="AF24" s="587"/>
    </row>
    <row r="25" spans="1:32" s="17" customFormat="1" ht="13.5" customHeight="1" x14ac:dyDescent="0.25">
      <c r="A25" s="5"/>
      <c r="B25" s="102"/>
      <c r="C25" s="103"/>
      <c r="D25" s="104"/>
      <c r="E25" s="104"/>
      <c r="F25" s="104"/>
      <c r="G25" s="104"/>
      <c r="H25" s="104"/>
      <c r="I25" s="104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2" ht="12.75" customHeight="1" x14ac:dyDescent="0.25">
      <c r="A26" s="5"/>
      <c r="B26" s="50"/>
      <c r="C26" s="51"/>
      <c r="D26" s="52"/>
      <c r="E26" s="52"/>
      <c r="F26" s="52"/>
      <c r="G26" s="52"/>
      <c r="H26" s="52"/>
      <c r="I26" s="52"/>
      <c r="J26" s="70"/>
      <c r="K26" s="70"/>
      <c r="L26" s="70"/>
      <c r="M26" s="70"/>
      <c r="N26" s="70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</row>
    <row r="27" spans="1:32" s="17" customFormat="1" ht="27" customHeight="1" x14ac:dyDescent="0.25">
      <c r="A27" s="5" t="s">
        <v>534</v>
      </c>
      <c r="B27" s="55" t="s">
        <v>673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7"/>
    </row>
    <row r="28" spans="1:32" s="17" customFormat="1" ht="27.75" customHeight="1" x14ac:dyDescent="0.25">
      <c r="A28" s="5" t="s">
        <v>535</v>
      </c>
      <c r="B28" s="738" t="s">
        <v>1261</v>
      </c>
      <c r="C28" s="739"/>
      <c r="D28" s="636"/>
      <c r="E28" s="636"/>
      <c r="F28" s="636"/>
      <c r="G28" s="636"/>
      <c r="H28" s="636"/>
      <c r="I28" s="636"/>
      <c r="J28" s="637"/>
      <c r="K28" s="637"/>
      <c r="L28" s="637"/>
      <c r="M28" s="636">
        <v>7</v>
      </c>
      <c r="N28" s="636">
        <v>1</v>
      </c>
      <c r="O28" s="637">
        <f>M28+N28</f>
        <v>8</v>
      </c>
      <c r="P28" s="636"/>
      <c r="Q28" s="636"/>
      <c r="R28" s="636"/>
      <c r="S28" s="637">
        <f>C28+G28+M28</f>
        <v>7</v>
      </c>
      <c r="T28" s="637">
        <v>1</v>
      </c>
      <c r="U28" s="637"/>
      <c r="V28" s="637"/>
      <c r="W28" s="637">
        <f>D28+J28+O28</f>
        <v>8</v>
      </c>
      <c r="X28" s="637"/>
      <c r="Y28" s="637"/>
      <c r="Z28" s="637"/>
      <c r="AA28" s="637">
        <f t="shared" ref="AA28:AA40" si="5">C28+G28+M28+P28/2</f>
        <v>7</v>
      </c>
      <c r="AB28" s="637">
        <f>N28</f>
        <v>1</v>
      </c>
      <c r="AC28" s="637"/>
      <c r="AD28" s="636"/>
      <c r="AE28" s="637">
        <f>D28+J28+O28+R28/2</f>
        <v>8</v>
      </c>
      <c r="AF28" s="25"/>
    </row>
    <row r="29" spans="1:32" s="17" customFormat="1" ht="14.45" customHeight="1" x14ac:dyDescent="0.25">
      <c r="A29" s="5" t="s">
        <v>536</v>
      </c>
      <c r="B29" s="738" t="s">
        <v>674</v>
      </c>
      <c r="C29" s="739"/>
      <c r="D29" s="636"/>
      <c r="E29" s="636"/>
      <c r="F29" s="636"/>
      <c r="G29" s="636"/>
      <c r="H29" s="636"/>
      <c r="I29" s="636"/>
      <c r="J29" s="636"/>
      <c r="K29" s="636"/>
      <c r="L29" s="636"/>
      <c r="M29" s="636">
        <v>1</v>
      </c>
      <c r="N29" s="636"/>
      <c r="O29" s="637">
        <f t="shared" ref="O29:O38" si="6">M29</f>
        <v>1</v>
      </c>
      <c r="P29" s="636"/>
      <c r="Q29" s="636"/>
      <c r="R29" s="636"/>
      <c r="S29" s="637">
        <f>C29+G29+M29</f>
        <v>1</v>
      </c>
      <c r="T29" s="637"/>
      <c r="U29" s="637"/>
      <c r="V29" s="637"/>
      <c r="W29" s="637">
        <f>D29+J29+O29</f>
        <v>1</v>
      </c>
      <c r="X29" s="637"/>
      <c r="Y29" s="637"/>
      <c r="Z29" s="637"/>
      <c r="AA29" s="637">
        <f t="shared" si="5"/>
        <v>1</v>
      </c>
      <c r="AB29" s="637"/>
      <c r="AC29" s="637"/>
      <c r="AD29" s="636"/>
      <c r="AE29" s="637">
        <f>D29+J29+O29+R29/2</f>
        <v>1</v>
      </c>
      <c r="AF29" s="25"/>
    </row>
    <row r="30" spans="1:32" s="17" customFormat="1" ht="14.25" customHeight="1" x14ac:dyDescent="0.25">
      <c r="A30" s="5" t="s">
        <v>537</v>
      </c>
      <c r="B30" s="738" t="s">
        <v>1255</v>
      </c>
      <c r="C30" s="61"/>
      <c r="D30" s="62"/>
      <c r="E30" s="62"/>
      <c r="F30" s="62"/>
      <c r="G30" s="62"/>
      <c r="H30" s="62"/>
      <c r="I30" s="62"/>
      <c r="J30" s="62"/>
      <c r="K30" s="62"/>
      <c r="L30" s="62"/>
      <c r="M30" s="62">
        <v>31</v>
      </c>
      <c r="N30" s="62"/>
      <c r="O30" s="47">
        <f t="shared" si="6"/>
        <v>31</v>
      </c>
      <c r="P30" s="62">
        <v>1</v>
      </c>
      <c r="Q30" s="62">
        <v>-1</v>
      </c>
      <c r="R30" s="62">
        <f>P30+Q30</f>
        <v>0</v>
      </c>
      <c r="S30" s="47">
        <v>31</v>
      </c>
      <c r="T30" s="47"/>
      <c r="U30" s="47"/>
      <c r="V30" s="47"/>
      <c r="W30" s="47">
        <f>D30+J30+O30</f>
        <v>31</v>
      </c>
      <c r="X30" s="637">
        <f>P30+K30+E30</f>
        <v>1</v>
      </c>
      <c r="Y30" s="637">
        <v>-1</v>
      </c>
      <c r="Z30" s="637">
        <f>F30+L30+R30</f>
        <v>0</v>
      </c>
      <c r="AA30" s="637">
        <f t="shared" si="5"/>
        <v>31.5</v>
      </c>
      <c r="AB30" s="637">
        <v>-0.5</v>
      </c>
      <c r="AC30" s="637"/>
      <c r="AD30" s="636"/>
      <c r="AE30" s="637">
        <f>D30+J30+O30+R30/2+AB30</f>
        <v>30.5</v>
      </c>
      <c r="AF30" s="25"/>
    </row>
    <row r="31" spans="1:32" s="17" customFormat="1" ht="29.25" customHeight="1" x14ac:dyDescent="0.25">
      <c r="A31" s="5" t="s">
        <v>539</v>
      </c>
      <c r="B31" s="738" t="s">
        <v>1256</v>
      </c>
      <c r="C31" s="739"/>
      <c r="D31" s="636"/>
      <c r="E31" s="636"/>
      <c r="F31" s="636"/>
      <c r="G31" s="636"/>
      <c r="H31" s="636"/>
      <c r="I31" s="636"/>
      <c r="J31" s="636"/>
      <c r="K31" s="636"/>
      <c r="L31" s="636"/>
      <c r="M31" s="740">
        <v>2</v>
      </c>
      <c r="N31" s="740"/>
      <c r="O31" s="741">
        <f t="shared" si="6"/>
        <v>2</v>
      </c>
      <c r="P31" s="740"/>
      <c r="Q31" s="740"/>
      <c r="R31" s="740"/>
      <c r="S31" s="741">
        <f>C31+G31+M31</f>
        <v>2</v>
      </c>
      <c r="T31" s="741"/>
      <c r="U31" s="741"/>
      <c r="V31" s="741"/>
      <c r="W31" s="741">
        <f>D31+J31+O31</f>
        <v>2</v>
      </c>
      <c r="X31" s="741"/>
      <c r="Y31" s="741"/>
      <c r="Z31" s="741"/>
      <c r="AA31" s="741">
        <f t="shared" si="5"/>
        <v>2</v>
      </c>
      <c r="AB31" s="741"/>
      <c r="AC31" s="741"/>
      <c r="AD31" s="740"/>
      <c r="AE31" s="741">
        <f>D31+J31+O31+R31/2</f>
        <v>2</v>
      </c>
      <c r="AF31" s="25"/>
    </row>
    <row r="32" spans="1:32" s="17" customFormat="1" ht="14.45" customHeight="1" x14ac:dyDescent="0.25">
      <c r="A32" s="5" t="s">
        <v>540</v>
      </c>
      <c r="B32" s="738" t="s">
        <v>689</v>
      </c>
      <c r="C32" s="739"/>
      <c r="D32" s="636"/>
      <c r="E32" s="636"/>
      <c r="F32" s="636"/>
      <c r="G32" s="636"/>
      <c r="H32" s="636"/>
      <c r="I32" s="636"/>
      <c r="J32" s="636"/>
      <c r="K32" s="636"/>
      <c r="L32" s="636"/>
      <c r="M32" s="636">
        <v>2</v>
      </c>
      <c r="N32" s="636"/>
      <c r="O32" s="637">
        <f t="shared" si="6"/>
        <v>2</v>
      </c>
      <c r="P32" s="636"/>
      <c r="Q32" s="636"/>
      <c r="R32" s="636"/>
      <c r="S32" s="637">
        <f>C32+G32+M32</f>
        <v>2</v>
      </c>
      <c r="T32" s="637"/>
      <c r="U32" s="637"/>
      <c r="V32" s="637"/>
      <c r="W32" s="637">
        <f>D32+J32+O32</f>
        <v>2</v>
      </c>
      <c r="X32" s="637"/>
      <c r="Y32" s="637"/>
      <c r="Z32" s="637"/>
      <c r="AA32" s="637">
        <f t="shared" si="5"/>
        <v>2</v>
      </c>
      <c r="AB32" s="637"/>
      <c r="AC32" s="637"/>
      <c r="AD32" s="637"/>
      <c r="AE32" s="637">
        <f>D32+J32+O32+R32/2</f>
        <v>2</v>
      </c>
      <c r="AF32" s="25"/>
    </row>
    <row r="33" spans="1:34" s="17" customFormat="1" ht="14.45" customHeight="1" x14ac:dyDescent="0.25">
      <c r="A33" s="5" t="s">
        <v>541</v>
      </c>
      <c r="B33" s="738" t="s">
        <v>675</v>
      </c>
      <c r="C33" s="739"/>
      <c r="D33" s="636"/>
      <c r="E33" s="636"/>
      <c r="F33" s="636"/>
      <c r="G33" s="636"/>
      <c r="H33" s="636"/>
      <c r="I33" s="636"/>
      <c r="J33" s="636"/>
      <c r="K33" s="636"/>
      <c r="L33" s="636"/>
      <c r="M33" s="636">
        <v>2</v>
      </c>
      <c r="N33" s="636">
        <v>1</v>
      </c>
      <c r="O33" s="637">
        <f>M33+N33</f>
        <v>3</v>
      </c>
      <c r="P33" s="636"/>
      <c r="Q33" s="636"/>
      <c r="R33" s="636"/>
      <c r="S33" s="637">
        <v>2</v>
      </c>
      <c r="T33" s="637">
        <v>1</v>
      </c>
      <c r="U33" s="637"/>
      <c r="V33" s="637"/>
      <c r="W33" s="637">
        <f>S33+T33</f>
        <v>3</v>
      </c>
      <c r="X33" s="637"/>
      <c r="Y33" s="637"/>
      <c r="Z33" s="637"/>
      <c r="AA33" s="637">
        <f t="shared" si="5"/>
        <v>2</v>
      </c>
      <c r="AB33" s="637">
        <f>T33</f>
        <v>1</v>
      </c>
      <c r="AC33" s="637"/>
      <c r="AD33" s="636"/>
      <c r="AE33" s="637">
        <f>AB33+AA33</f>
        <v>3</v>
      </c>
      <c r="AF33" s="25"/>
      <c r="AH33" s="422"/>
    </row>
    <row r="34" spans="1:34" s="17" customFormat="1" ht="14.45" customHeight="1" x14ac:dyDescent="0.25">
      <c r="A34" s="5" t="s">
        <v>542</v>
      </c>
      <c r="B34" s="738" t="s">
        <v>676</v>
      </c>
      <c r="C34" s="739"/>
      <c r="D34" s="636"/>
      <c r="E34" s="636"/>
      <c r="F34" s="636"/>
      <c r="G34" s="636"/>
      <c r="H34" s="636"/>
      <c r="I34" s="636"/>
      <c r="J34" s="636"/>
      <c r="K34" s="636"/>
      <c r="L34" s="636"/>
      <c r="M34" s="636">
        <v>5</v>
      </c>
      <c r="N34" s="636"/>
      <c r="O34" s="637">
        <f t="shared" si="6"/>
        <v>5</v>
      </c>
      <c r="P34" s="636"/>
      <c r="Q34" s="636"/>
      <c r="R34" s="636"/>
      <c r="S34" s="637">
        <f>M34+P34</f>
        <v>5</v>
      </c>
      <c r="T34" s="637"/>
      <c r="U34" s="637"/>
      <c r="V34" s="637"/>
      <c r="W34" s="637">
        <f>D34+J34+O34</f>
        <v>5</v>
      </c>
      <c r="X34" s="637"/>
      <c r="Y34" s="637"/>
      <c r="Z34" s="637"/>
      <c r="AA34" s="637">
        <f t="shared" si="5"/>
        <v>5</v>
      </c>
      <c r="AB34" s="637"/>
      <c r="AC34" s="637"/>
      <c r="AD34" s="636"/>
      <c r="AE34" s="637">
        <f>D34+J34+O34+R34/2</f>
        <v>5</v>
      </c>
      <c r="AF34" s="25"/>
    </row>
    <row r="35" spans="1:34" s="17" customFormat="1" ht="29.25" customHeight="1" x14ac:dyDescent="0.25">
      <c r="A35" s="5" t="s">
        <v>543</v>
      </c>
      <c r="B35" s="738" t="s">
        <v>1260</v>
      </c>
      <c r="C35" s="739"/>
      <c r="D35" s="636"/>
      <c r="E35" s="636"/>
      <c r="F35" s="636"/>
      <c r="G35" s="636"/>
      <c r="H35" s="636"/>
      <c r="I35" s="636"/>
      <c r="J35" s="636"/>
      <c r="K35" s="636"/>
      <c r="L35" s="636"/>
      <c r="M35" s="636">
        <v>4</v>
      </c>
      <c r="N35" s="636">
        <v>1</v>
      </c>
      <c r="O35" s="637">
        <f>M35+N35</f>
        <v>5</v>
      </c>
      <c r="P35" s="636"/>
      <c r="Q35" s="636"/>
      <c r="R35" s="636"/>
      <c r="S35" s="637">
        <v>4</v>
      </c>
      <c r="T35" s="637">
        <v>1</v>
      </c>
      <c r="U35" s="637"/>
      <c r="V35" s="637"/>
      <c r="W35" s="637">
        <f>D35+J35+O35</f>
        <v>5</v>
      </c>
      <c r="X35" s="637"/>
      <c r="Y35" s="637"/>
      <c r="Z35" s="637"/>
      <c r="AA35" s="637">
        <f t="shared" si="5"/>
        <v>4</v>
      </c>
      <c r="AB35" s="637">
        <f>T35</f>
        <v>1</v>
      </c>
      <c r="AC35" s="637"/>
      <c r="AD35" s="636"/>
      <c r="AE35" s="637">
        <f>D35+J35+O35+R35/2</f>
        <v>5</v>
      </c>
    </row>
    <row r="36" spans="1:34" s="17" customFormat="1" ht="14.45" customHeight="1" x14ac:dyDescent="0.25">
      <c r="A36" s="5" t="s">
        <v>544</v>
      </c>
      <c r="B36" s="738" t="s">
        <v>1262</v>
      </c>
      <c r="C36" s="739"/>
      <c r="D36" s="636"/>
      <c r="E36" s="636"/>
      <c r="F36" s="636"/>
      <c r="G36" s="636"/>
      <c r="H36" s="636"/>
      <c r="I36" s="636"/>
      <c r="J36" s="636"/>
      <c r="K36" s="636"/>
      <c r="L36" s="636"/>
      <c r="M36" s="636">
        <v>1</v>
      </c>
      <c r="N36" s="636">
        <v>-1</v>
      </c>
      <c r="O36" s="637">
        <f>M36+N36</f>
        <v>0</v>
      </c>
      <c r="P36" s="636"/>
      <c r="Q36" s="636"/>
      <c r="R36" s="636"/>
      <c r="S36" s="637">
        <v>1</v>
      </c>
      <c r="T36" s="637">
        <f>N36</f>
        <v>-1</v>
      </c>
      <c r="U36" s="637"/>
      <c r="V36" s="637"/>
      <c r="W36" s="637">
        <f>D36+J36+O36</f>
        <v>0</v>
      </c>
      <c r="X36" s="637"/>
      <c r="Y36" s="637"/>
      <c r="Z36" s="637"/>
      <c r="AA36" s="637">
        <f t="shared" si="5"/>
        <v>1</v>
      </c>
      <c r="AB36" s="637">
        <f>T36</f>
        <v>-1</v>
      </c>
      <c r="AC36" s="637"/>
      <c r="AD36" s="636"/>
      <c r="AE36" s="637">
        <f>D36+J36+O36+R36/2</f>
        <v>0</v>
      </c>
    </row>
    <row r="37" spans="1:34" s="17" customFormat="1" ht="42.75" customHeight="1" x14ac:dyDescent="0.25">
      <c r="A37" s="5" t="s">
        <v>545</v>
      </c>
      <c r="B37" s="738" t="s">
        <v>1258</v>
      </c>
      <c r="C37" s="739"/>
      <c r="D37" s="636"/>
      <c r="E37" s="636"/>
      <c r="F37" s="636"/>
      <c r="G37" s="636"/>
      <c r="H37" s="636"/>
      <c r="I37" s="636"/>
      <c r="J37" s="636"/>
      <c r="K37" s="636"/>
      <c r="L37" s="636"/>
      <c r="M37" s="636">
        <v>4</v>
      </c>
      <c r="N37" s="636">
        <v>1</v>
      </c>
      <c r="O37" s="637">
        <f t="shared" si="6"/>
        <v>4</v>
      </c>
      <c r="P37" s="636"/>
      <c r="Q37" s="636"/>
      <c r="R37" s="636"/>
      <c r="S37" s="637">
        <v>4</v>
      </c>
      <c r="T37" s="637">
        <f>N37</f>
        <v>1</v>
      </c>
      <c r="U37" s="637"/>
      <c r="V37" s="637"/>
      <c r="W37" s="637">
        <f>S37+T37</f>
        <v>5</v>
      </c>
      <c r="X37" s="637"/>
      <c r="Y37" s="637"/>
      <c r="Z37" s="637"/>
      <c r="AA37" s="637">
        <f t="shared" si="5"/>
        <v>4</v>
      </c>
      <c r="AB37" s="637">
        <f>T37</f>
        <v>1</v>
      </c>
      <c r="AC37" s="637"/>
      <c r="AD37" s="636"/>
      <c r="AE37" s="637">
        <f>D37+J37+O37+R37/2+AB37</f>
        <v>5</v>
      </c>
    </row>
    <row r="38" spans="1:34" s="17" customFormat="1" ht="14.25" customHeight="1" x14ac:dyDescent="0.25">
      <c r="A38" s="5" t="s">
        <v>546</v>
      </c>
      <c r="B38" s="738" t="s">
        <v>1257</v>
      </c>
      <c r="C38" s="739"/>
      <c r="D38" s="636"/>
      <c r="E38" s="636"/>
      <c r="F38" s="636"/>
      <c r="G38" s="636"/>
      <c r="H38" s="636"/>
      <c r="I38" s="636"/>
      <c r="J38" s="636"/>
      <c r="K38" s="636"/>
      <c r="L38" s="636"/>
      <c r="M38" s="636">
        <v>4</v>
      </c>
      <c r="N38" s="636">
        <v>-1</v>
      </c>
      <c r="O38" s="637">
        <f t="shared" si="6"/>
        <v>4</v>
      </c>
      <c r="P38" s="636"/>
      <c r="Q38" s="636"/>
      <c r="R38" s="636"/>
      <c r="S38" s="637">
        <v>4</v>
      </c>
      <c r="T38" s="637">
        <f>N38</f>
        <v>-1</v>
      </c>
      <c r="U38" s="637"/>
      <c r="V38" s="637"/>
      <c r="W38" s="637">
        <f>S38+T38</f>
        <v>3</v>
      </c>
      <c r="X38" s="637"/>
      <c r="Y38" s="637"/>
      <c r="Z38" s="637"/>
      <c r="AA38" s="637">
        <f t="shared" si="5"/>
        <v>4</v>
      </c>
      <c r="AB38" s="637">
        <f>T38</f>
        <v>-1</v>
      </c>
      <c r="AC38" s="637"/>
      <c r="AD38" s="636"/>
      <c r="AE38" s="637">
        <f>D38+J38+O38+R38/2+N38</f>
        <v>3</v>
      </c>
    </row>
    <row r="39" spans="1:34" s="17" customFormat="1" ht="27.75" customHeight="1" x14ac:dyDescent="0.25">
      <c r="A39" s="5" t="s">
        <v>564</v>
      </c>
      <c r="B39" s="738" t="s">
        <v>1259</v>
      </c>
      <c r="C39" s="739"/>
      <c r="D39" s="636"/>
      <c r="E39" s="636"/>
      <c r="F39" s="636"/>
      <c r="G39" s="636"/>
      <c r="H39" s="636"/>
      <c r="I39" s="636"/>
      <c r="J39" s="636"/>
      <c r="K39" s="636"/>
      <c r="L39" s="636"/>
      <c r="M39" s="636">
        <v>1</v>
      </c>
      <c r="N39" s="636"/>
      <c r="O39" s="637">
        <f>SUM(M39:M39)</f>
        <v>1</v>
      </c>
      <c r="P39" s="636"/>
      <c r="Q39" s="636"/>
      <c r="R39" s="636"/>
      <c r="S39" s="637">
        <f>M39</f>
        <v>1</v>
      </c>
      <c r="T39" s="637"/>
      <c r="U39" s="637"/>
      <c r="V39" s="637"/>
      <c r="W39" s="637">
        <f>D39+J39+O39</f>
        <v>1</v>
      </c>
      <c r="X39" s="637"/>
      <c r="Y39" s="637"/>
      <c r="Z39" s="637"/>
      <c r="AA39" s="637">
        <f t="shared" si="5"/>
        <v>1</v>
      </c>
      <c r="AB39" s="637"/>
      <c r="AC39" s="637"/>
      <c r="AD39" s="636"/>
      <c r="AE39" s="637">
        <f>D39+J39+O39+R39/2</f>
        <v>1</v>
      </c>
    </row>
    <row r="40" spans="1:34" s="17" customFormat="1" ht="14.25" customHeight="1" x14ac:dyDescent="0.25">
      <c r="A40" s="5" t="s">
        <v>565</v>
      </c>
      <c r="B40" s="45" t="s">
        <v>677</v>
      </c>
      <c r="C40" s="46"/>
      <c r="D40" s="63"/>
      <c r="E40" s="63"/>
      <c r="F40" s="63"/>
      <c r="G40" s="63"/>
      <c r="H40" s="63"/>
      <c r="I40" s="63"/>
      <c r="J40" s="47"/>
      <c r="K40" s="47"/>
      <c r="L40" s="47"/>
      <c r="M40" s="637">
        <f>SUM(M28:M39)</f>
        <v>64</v>
      </c>
      <c r="N40" s="637">
        <f>SUM(N28:N39)</f>
        <v>2</v>
      </c>
      <c r="O40" s="637">
        <f>SUM(O28:O39)</f>
        <v>66</v>
      </c>
      <c r="P40" s="637">
        <f>SUM(P28:P38)</f>
        <v>1</v>
      </c>
      <c r="Q40" s="637">
        <f>SUM(Q28:Q39)</f>
        <v>-1</v>
      </c>
      <c r="R40" s="637">
        <f>SUM(R28:R38)</f>
        <v>0</v>
      </c>
      <c r="S40" s="637">
        <f>SUM(S28:S39)</f>
        <v>64</v>
      </c>
      <c r="T40" s="637">
        <f>SUM(T28:T39)</f>
        <v>2</v>
      </c>
      <c r="U40" s="637"/>
      <c r="V40" s="637"/>
      <c r="W40" s="637">
        <f>D40+J40+O40</f>
        <v>66</v>
      </c>
      <c r="X40" s="637">
        <f>P40+K40+E40</f>
        <v>1</v>
      </c>
      <c r="Y40" s="637">
        <f>SUM(Y28:Y39)</f>
        <v>-1</v>
      </c>
      <c r="Z40" s="637">
        <f>F40+L40+R40</f>
        <v>0</v>
      </c>
      <c r="AA40" s="742">
        <f t="shared" si="5"/>
        <v>64.5</v>
      </c>
      <c r="AB40" s="742">
        <f>SUM(AB28:AB39)</f>
        <v>1.5</v>
      </c>
      <c r="AC40" s="742"/>
      <c r="AD40" s="637"/>
      <c r="AE40" s="637">
        <f>D40+J40+O40+R40/2</f>
        <v>66</v>
      </c>
    </row>
    <row r="41" spans="1:34" ht="12.75" hidden="1" customHeight="1" x14ac:dyDescent="0.25">
      <c r="A41" s="5" t="s">
        <v>566</v>
      </c>
      <c r="B41" s="64"/>
      <c r="C41" s="65"/>
      <c r="D41" s="66"/>
      <c r="E41" s="66"/>
      <c r="F41" s="66"/>
      <c r="G41" s="66"/>
      <c r="H41" s="66"/>
      <c r="I41" s="66"/>
      <c r="J41" s="67"/>
      <c r="K41" s="67"/>
      <c r="L41" s="67"/>
      <c r="M41" s="67"/>
      <c r="N41" s="67"/>
      <c r="O41" s="47">
        <f>M41</f>
        <v>0</v>
      </c>
      <c r="P41" s="67">
        <f>SUM(P28:P40)</f>
        <v>2</v>
      </c>
      <c r="Q41" s="67"/>
      <c r="R41" s="67"/>
      <c r="S41" s="67"/>
      <c r="T41" s="67"/>
      <c r="U41" s="67"/>
      <c r="V41" s="67"/>
      <c r="W41" s="67"/>
      <c r="X41" s="53"/>
      <c r="Y41" s="53"/>
      <c r="Z41" s="53"/>
      <c r="AA41" s="53"/>
      <c r="AB41" s="53"/>
      <c r="AC41" s="53"/>
      <c r="AD41" s="53"/>
      <c r="AE41" s="423"/>
      <c r="AF41" s="367"/>
    </row>
    <row r="42" spans="1:34" s="28" customFormat="1" ht="14.25" hidden="1" customHeight="1" x14ac:dyDescent="0.25">
      <c r="A42" s="5" t="s">
        <v>567</v>
      </c>
      <c r="B42" s="55"/>
      <c r="C42" s="69"/>
      <c r="D42" s="53"/>
      <c r="E42" s="53"/>
      <c r="F42" s="53"/>
      <c r="G42" s="53"/>
      <c r="H42" s="53"/>
      <c r="I42" s="53"/>
      <c r="J42" s="70"/>
      <c r="K42" s="70"/>
      <c r="L42" s="70"/>
      <c r="M42" s="70"/>
      <c r="N42" s="70"/>
      <c r="O42" s="53"/>
      <c r="P42" s="53"/>
      <c r="Q42" s="53"/>
      <c r="R42" s="53"/>
      <c r="S42" s="53"/>
      <c r="T42" s="53"/>
      <c r="U42" s="53"/>
      <c r="V42" s="53"/>
      <c r="W42" s="70"/>
      <c r="X42" s="70"/>
      <c r="Y42" s="70"/>
      <c r="Z42" s="53"/>
      <c r="AA42" s="53"/>
      <c r="AB42" s="53"/>
      <c r="AC42" s="53"/>
      <c r="AD42" s="53"/>
      <c r="AE42" s="53"/>
    </row>
    <row r="43" spans="1:34" s="28" customFormat="1" ht="14.45" hidden="1" customHeight="1" x14ac:dyDescent="0.25">
      <c r="A43" s="5" t="s">
        <v>568</v>
      </c>
      <c r="B43" s="71"/>
      <c r="C43" s="72"/>
      <c r="D43" s="47"/>
      <c r="E43" s="47"/>
      <c r="F43" s="47"/>
      <c r="G43" s="47"/>
      <c r="H43" s="47"/>
      <c r="I43" s="47"/>
      <c r="J43" s="62"/>
      <c r="K43" s="62"/>
      <c r="L43" s="62"/>
      <c r="M43" s="62"/>
      <c r="N43" s="62"/>
      <c r="O43" s="47"/>
      <c r="P43" s="47"/>
      <c r="Q43" s="47"/>
      <c r="R43" s="47"/>
      <c r="S43" s="47"/>
      <c r="T43" s="47"/>
      <c r="U43" s="47"/>
      <c r="V43" s="47"/>
      <c r="W43" s="62"/>
      <c r="X43" s="62"/>
      <c r="Y43" s="62"/>
      <c r="Z43" s="47"/>
      <c r="AA43" s="47"/>
      <c r="AB43" s="47"/>
      <c r="AC43" s="47"/>
      <c r="AD43" s="47"/>
      <c r="AE43" s="47"/>
    </row>
    <row r="44" spans="1:34" s="28" customFormat="1" ht="14.25" hidden="1" customHeight="1" x14ac:dyDescent="0.25">
      <c r="A44" s="5" t="s">
        <v>569</v>
      </c>
      <c r="B44" s="60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47"/>
      <c r="AA44" s="47"/>
      <c r="AB44" s="47"/>
      <c r="AC44" s="47"/>
      <c r="AD44" s="47"/>
      <c r="AE44" s="47"/>
    </row>
    <row r="45" spans="1:34" s="28" customFormat="1" ht="14.25" hidden="1" customHeight="1" x14ac:dyDescent="0.25">
      <c r="A45" s="5" t="s">
        <v>570</v>
      </c>
      <c r="B45" s="60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47"/>
      <c r="AA45" s="47"/>
      <c r="AB45" s="47"/>
      <c r="AC45" s="47"/>
      <c r="AD45" s="47"/>
      <c r="AE45" s="47"/>
    </row>
    <row r="46" spans="1:34" s="28" customFormat="1" ht="14.25" hidden="1" customHeight="1" x14ac:dyDescent="0.25">
      <c r="A46" s="5" t="s">
        <v>571</v>
      </c>
      <c r="B46" s="60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47"/>
      <c r="AA46" s="47"/>
      <c r="AB46" s="47"/>
      <c r="AC46" s="47"/>
      <c r="AD46" s="47"/>
      <c r="AE46" s="47"/>
    </row>
    <row r="47" spans="1:34" s="28" customFormat="1" ht="14.25" hidden="1" customHeight="1" x14ac:dyDescent="0.25">
      <c r="A47" s="5" t="s">
        <v>572</v>
      </c>
      <c r="B47" s="60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47"/>
      <c r="AA47" s="47"/>
      <c r="AB47" s="47"/>
      <c r="AC47" s="47"/>
      <c r="AD47" s="47"/>
      <c r="AE47" s="47"/>
    </row>
    <row r="48" spans="1:34" s="28" customFormat="1" ht="14.25" hidden="1" customHeight="1" x14ac:dyDescent="0.25">
      <c r="A48" s="5" t="s">
        <v>624</v>
      </c>
      <c r="B48" s="60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47"/>
      <c r="AA48" s="47"/>
      <c r="AB48" s="47"/>
      <c r="AC48" s="47"/>
      <c r="AD48" s="47"/>
      <c r="AE48" s="47"/>
    </row>
    <row r="49" spans="1:31" s="28" customFormat="1" ht="14.25" hidden="1" customHeight="1" x14ac:dyDescent="0.25">
      <c r="A49" s="5" t="s">
        <v>625</v>
      </c>
      <c r="B49" s="60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47"/>
      <c r="AA49" s="47"/>
      <c r="AB49" s="47"/>
      <c r="AC49" s="47"/>
      <c r="AD49" s="47"/>
      <c r="AE49" s="47"/>
    </row>
    <row r="50" spans="1:31" s="28" customFormat="1" ht="14.25" hidden="1" customHeight="1" x14ac:dyDescent="0.25">
      <c r="A50" s="5" t="s">
        <v>626</v>
      </c>
      <c r="B50" s="60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47"/>
      <c r="AB50" s="47"/>
      <c r="AC50" s="47"/>
      <c r="AD50" s="62"/>
      <c r="AE50" s="47"/>
    </row>
    <row r="51" spans="1:31" s="28" customFormat="1" ht="14.25" hidden="1" customHeight="1" x14ac:dyDescent="0.25">
      <c r="A51" s="5" t="s">
        <v>627</v>
      </c>
      <c r="B51" s="60"/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47"/>
      <c r="AB51" s="47"/>
      <c r="AC51" s="47"/>
      <c r="AD51" s="62"/>
      <c r="AE51" s="47"/>
    </row>
    <row r="52" spans="1:31" s="28" customFormat="1" ht="14.25" hidden="1" customHeight="1" x14ac:dyDescent="0.25">
      <c r="A52" s="5" t="s">
        <v>115</v>
      </c>
      <c r="B52" s="60"/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47"/>
      <c r="AB52" s="47"/>
      <c r="AC52" s="47"/>
      <c r="AD52" s="62"/>
      <c r="AE52" s="47"/>
    </row>
    <row r="53" spans="1:31" s="28" customFormat="1" ht="14.25" hidden="1" customHeight="1" x14ac:dyDescent="0.25">
      <c r="A53" s="5" t="s">
        <v>652</v>
      </c>
      <c r="B53" s="73"/>
      <c r="C53" s="7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47"/>
      <c r="AA53" s="47"/>
      <c r="AB53" s="47"/>
      <c r="AC53" s="47"/>
      <c r="AD53" s="47"/>
      <c r="AE53" s="47"/>
    </row>
    <row r="54" spans="1:31" s="28" customFormat="1" ht="14.25" hidden="1" customHeight="1" x14ac:dyDescent="0.25">
      <c r="A54" s="5" t="s">
        <v>653</v>
      </c>
      <c r="B54" s="60"/>
      <c r="C54" s="61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47"/>
      <c r="AA54" s="47"/>
      <c r="AB54" s="47"/>
      <c r="AC54" s="47"/>
      <c r="AD54" s="47"/>
      <c r="AE54" s="47"/>
    </row>
    <row r="55" spans="1:31" s="28" customFormat="1" ht="14.25" hidden="1" customHeight="1" x14ac:dyDescent="0.25">
      <c r="A55" s="5" t="s">
        <v>118</v>
      </c>
      <c r="B55" s="60"/>
      <c r="C55" s="61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47"/>
      <c r="AA55" s="47"/>
      <c r="AB55" s="47"/>
      <c r="AC55" s="47"/>
      <c r="AD55" s="47"/>
      <c r="AE55" s="47"/>
    </row>
    <row r="56" spans="1:31" s="28" customFormat="1" ht="14.25" hidden="1" customHeight="1" x14ac:dyDescent="0.25">
      <c r="A56" s="5" t="s">
        <v>119</v>
      </c>
      <c r="B56" s="60"/>
      <c r="C56" s="61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47"/>
      <c r="AA56" s="47"/>
      <c r="AB56" s="47"/>
      <c r="AC56" s="47"/>
      <c r="AD56" s="47"/>
      <c r="AE56" s="47"/>
    </row>
    <row r="57" spans="1:31" s="28" customFormat="1" ht="14.25" hidden="1" customHeight="1" x14ac:dyDescent="0.25">
      <c r="A57" s="5" t="s">
        <v>120</v>
      </c>
      <c r="B57" s="73"/>
      <c r="C57" s="7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47"/>
      <c r="AA57" s="47"/>
      <c r="AB57" s="47"/>
      <c r="AC57" s="47"/>
      <c r="AD57" s="47"/>
      <c r="AE57" s="47"/>
    </row>
    <row r="58" spans="1:31" s="28" customFormat="1" ht="14.25" hidden="1" customHeight="1" x14ac:dyDescent="0.25">
      <c r="A58" s="5" t="s">
        <v>123</v>
      </c>
      <c r="B58" s="60"/>
      <c r="C58" s="61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47"/>
      <c r="AA58" s="47"/>
      <c r="AB58" s="47"/>
      <c r="AC58" s="47"/>
      <c r="AD58" s="47"/>
      <c r="AE58" s="47"/>
    </row>
    <row r="59" spans="1:31" s="28" customFormat="1" ht="14.25" hidden="1" customHeight="1" x14ac:dyDescent="0.25">
      <c r="A59" s="5" t="s">
        <v>126</v>
      </c>
      <c r="B59" s="60"/>
      <c r="C59" s="61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47"/>
      <c r="AA59" s="47"/>
      <c r="AB59" s="47"/>
      <c r="AC59" s="47"/>
      <c r="AD59" s="47"/>
      <c r="AE59" s="47"/>
    </row>
    <row r="60" spans="1:31" s="28" customFormat="1" ht="14.45" hidden="1" customHeight="1" x14ac:dyDescent="0.25">
      <c r="A60" s="5" t="s">
        <v>127</v>
      </c>
      <c r="B60" s="73"/>
      <c r="C60" s="7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47"/>
      <c r="AA60" s="47"/>
      <c r="AB60" s="47"/>
      <c r="AC60" s="47"/>
      <c r="AD60" s="47"/>
      <c r="AE60" s="47"/>
    </row>
    <row r="61" spans="1:31" s="28" customFormat="1" ht="14.45" hidden="1" customHeight="1" x14ac:dyDescent="0.25">
      <c r="A61" s="5" t="s">
        <v>128</v>
      </c>
      <c r="B61" s="60"/>
      <c r="C61" s="61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47"/>
      <c r="AA61" s="47"/>
      <c r="AB61" s="47"/>
      <c r="AC61" s="47"/>
      <c r="AD61" s="47"/>
      <c r="AE61" s="47"/>
    </row>
    <row r="62" spans="1:31" s="28" customFormat="1" ht="14.45" hidden="1" customHeight="1" x14ac:dyDescent="0.25">
      <c r="A62" s="5" t="s">
        <v>129</v>
      </c>
      <c r="B62" s="60"/>
      <c r="C62" s="61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47"/>
      <c r="AA62" s="47"/>
      <c r="AB62" s="47"/>
      <c r="AC62" s="47"/>
      <c r="AD62" s="47"/>
      <c r="AE62" s="47"/>
    </row>
    <row r="63" spans="1:31" s="28" customFormat="1" ht="14.45" hidden="1" customHeight="1" x14ac:dyDescent="0.25">
      <c r="A63" s="5" t="s">
        <v>132</v>
      </c>
      <c r="B63" s="60"/>
      <c r="C63" s="61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47"/>
      <c r="AA63" s="47"/>
      <c r="AB63" s="47"/>
      <c r="AC63" s="47"/>
      <c r="AD63" s="47"/>
      <c r="AE63" s="47"/>
    </row>
    <row r="64" spans="1:31" s="28" customFormat="1" ht="14.45" hidden="1" customHeight="1" x14ac:dyDescent="0.25">
      <c r="A64" s="5" t="s">
        <v>135</v>
      </c>
      <c r="B64" s="45"/>
      <c r="C64" s="46"/>
      <c r="D64" s="63"/>
      <c r="E64" s="63"/>
      <c r="F64" s="63"/>
      <c r="G64" s="63"/>
      <c r="H64" s="63"/>
      <c r="I64" s="63"/>
      <c r="J64" s="62"/>
      <c r="K64" s="62"/>
      <c r="L64" s="62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8"/>
      <c r="AB64" s="48"/>
      <c r="AC64" s="48"/>
      <c r="AD64" s="47"/>
      <c r="AE64" s="47"/>
    </row>
    <row r="65" spans="1:31" s="28" customFormat="1" ht="14.45" customHeight="1" x14ac:dyDescent="0.25">
      <c r="A65" s="5"/>
      <c r="B65" s="440"/>
      <c r="C65" s="441"/>
      <c r="D65" s="104"/>
      <c r="E65" s="104"/>
      <c r="F65" s="104"/>
      <c r="G65" s="104"/>
      <c r="H65" s="104"/>
      <c r="I65" s="104"/>
      <c r="J65" s="442"/>
      <c r="K65" s="442"/>
      <c r="L65" s="442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443"/>
      <c r="AB65" s="443"/>
      <c r="AC65" s="443"/>
      <c r="AD65" s="105"/>
      <c r="AE65" s="105"/>
    </row>
    <row r="66" spans="1:31" s="28" customFormat="1" ht="14.45" customHeight="1" x14ac:dyDescent="0.25">
      <c r="A66" s="5"/>
      <c r="B66" s="75"/>
      <c r="C66" s="69"/>
      <c r="D66" s="52"/>
      <c r="E66" s="52"/>
      <c r="F66" s="52"/>
      <c r="G66" s="52"/>
      <c r="H66" s="52"/>
      <c r="I66" s="52"/>
      <c r="J66" s="70"/>
      <c r="K66" s="70"/>
      <c r="L66" s="70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195"/>
      <c r="AB66" s="195"/>
      <c r="AC66" s="195"/>
      <c r="AD66" s="53"/>
      <c r="AE66" s="53"/>
    </row>
    <row r="67" spans="1:31" s="28" customFormat="1" ht="14.45" customHeight="1" x14ac:dyDescent="0.25">
      <c r="A67" s="5"/>
      <c r="B67" s="75"/>
      <c r="C67" s="69"/>
      <c r="D67" s="52"/>
      <c r="E67" s="52"/>
      <c r="F67" s="52"/>
      <c r="G67" s="52"/>
      <c r="H67" s="52"/>
      <c r="I67" s="52"/>
      <c r="J67" s="70"/>
      <c r="K67" s="70"/>
      <c r="L67" s="70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195"/>
      <c r="AB67" s="195"/>
      <c r="AC67" s="195"/>
      <c r="AD67" s="53"/>
      <c r="AE67" s="53"/>
    </row>
    <row r="68" spans="1:31" s="28" customFormat="1" ht="14.45" customHeight="1" x14ac:dyDescent="0.25">
      <c r="A68" s="5" t="s">
        <v>566</v>
      </c>
      <c r="B68" s="30" t="s">
        <v>692</v>
      </c>
      <c r="C68" s="69"/>
      <c r="D68" s="52"/>
      <c r="E68" s="52"/>
      <c r="F68" s="52"/>
      <c r="G68" s="52"/>
      <c r="H68" s="52"/>
      <c r="I68" s="52"/>
      <c r="J68" s="70"/>
      <c r="K68" s="70"/>
      <c r="L68" s="70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195"/>
      <c r="AB68" s="195"/>
      <c r="AC68" s="195"/>
      <c r="AD68" s="53"/>
      <c r="AE68" s="53"/>
    </row>
    <row r="69" spans="1:31" s="28" customFormat="1" ht="14.45" customHeight="1" x14ac:dyDescent="0.25">
      <c r="A69" s="5" t="s">
        <v>567</v>
      </c>
      <c r="B69" s="445" t="s">
        <v>693</v>
      </c>
      <c r="C69" s="197"/>
      <c r="D69" s="198"/>
      <c r="E69" s="198"/>
      <c r="F69" s="198"/>
      <c r="G69" s="198"/>
      <c r="H69" s="198"/>
      <c r="I69" s="198"/>
      <c r="J69" s="199"/>
      <c r="K69" s="199"/>
      <c r="L69" s="199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444"/>
      <c r="AB69" s="444"/>
      <c r="AC69" s="444"/>
      <c r="AD69" s="444"/>
      <c r="AE69" s="444"/>
    </row>
    <row r="70" spans="1:31" s="28" customFormat="1" ht="14.45" customHeight="1" x14ac:dyDescent="0.25">
      <c r="A70" s="5" t="s">
        <v>568</v>
      </c>
      <c r="B70" s="439" t="s">
        <v>694</v>
      </c>
      <c r="C70" s="197"/>
      <c r="D70" s="198"/>
      <c r="E70" s="198"/>
      <c r="F70" s="198"/>
      <c r="G70" s="198"/>
      <c r="H70" s="198"/>
      <c r="I70" s="198"/>
      <c r="J70" s="199"/>
      <c r="K70" s="199"/>
      <c r="L70" s="199"/>
      <c r="M70" s="200">
        <v>1</v>
      </c>
      <c r="N70" s="200"/>
      <c r="O70" s="200">
        <f t="shared" ref="O70:O78" si="7">M70</f>
        <v>1</v>
      </c>
      <c r="P70" s="200"/>
      <c r="Q70" s="200"/>
      <c r="R70" s="200"/>
      <c r="S70" s="200">
        <v>1</v>
      </c>
      <c r="T70" s="200"/>
      <c r="U70" s="200"/>
      <c r="V70" s="200"/>
      <c r="W70" s="200">
        <f t="shared" ref="W70:W78" si="8">D70+J70+O70</f>
        <v>1</v>
      </c>
      <c r="X70" s="200"/>
      <c r="Y70" s="200"/>
      <c r="Z70" s="200"/>
      <c r="AA70" s="444">
        <f t="shared" ref="AA70:AA78" si="9">S70+X70/2</f>
        <v>1</v>
      </c>
      <c r="AB70" s="444"/>
      <c r="AC70" s="444"/>
      <c r="AD70" s="444"/>
      <c r="AE70" s="444">
        <f t="shared" ref="AE70:AE78" si="10">W70+Z70/2</f>
        <v>1</v>
      </c>
    </row>
    <row r="71" spans="1:31" s="28" customFormat="1" ht="14.45" customHeight="1" x14ac:dyDescent="0.25">
      <c r="A71" s="5" t="s">
        <v>569</v>
      </c>
      <c r="B71" s="439" t="s">
        <v>695</v>
      </c>
      <c r="C71" s="197"/>
      <c r="D71" s="198"/>
      <c r="E71" s="198"/>
      <c r="F71" s="198"/>
      <c r="G71" s="198"/>
      <c r="H71" s="198"/>
      <c r="I71" s="198"/>
      <c r="J71" s="199"/>
      <c r="K71" s="199"/>
      <c r="L71" s="199"/>
      <c r="M71" s="200">
        <v>1</v>
      </c>
      <c r="N71" s="200"/>
      <c r="O71" s="200">
        <f t="shared" si="7"/>
        <v>1</v>
      </c>
      <c r="P71" s="200"/>
      <c r="Q71" s="200"/>
      <c r="R71" s="200"/>
      <c r="S71" s="200">
        <v>1</v>
      </c>
      <c r="T71" s="200"/>
      <c r="U71" s="200"/>
      <c r="V71" s="200"/>
      <c r="W71" s="200">
        <f t="shared" si="8"/>
        <v>1</v>
      </c>
      <c r="X71" s="200"/>
      <c r="Y71" s="200"/>
      <c r="Z71" s="200"/>
      <c r="AA71" s="444">
        <f t="shared" si="9"/>
        <v>1</v>
      </c>
      <c r="AB71" s="444"/>
      <c r="AC71" s="444"/>
      <c r="AD71" s="444"/>
      <c r="AE71" s="444">
        <f t="shared" si="10"/>
        <v>1</v>
      </c>
    </row>
    <row r="72" spans="1:31" s="28" customFormat="1" ht="14.45" customHeight="1" x14ac:dyDescent="0.25">
      <c r="A72" s="5" t="s">
        <v>570</v>
      </c>
      <c r="B72" s="439" t="s">
        <v>696</v>
      </c>
      <c r="C72" s="197"/>
      <c r="D72" s="198"/>
      <c r="E72" s="198"/>
      <c r="F72" s="198"/>
      <c r="G72" s="198"/>
      <c r="H72" s="198"/>
      <c r="I72" s="198"/>
      <c r="J72" s="199"/>
      <c r="K72" s="199"/>
      <c r="L72" s="199"/>
      <c r="M72" s="200">
        <v>2</v>
      </c>
      <c r="N72" s="200"/>
      <c r="O72" s="200">
        <f t="shared" si="7"/>
        <v>2</v>
      </c>
      <c r="P72" s="200"/>
      <c r="Q72" s="200"/>
      <c r="R72" s="200"/>
      <c r="S72" s="200">
        <v>2</v>
      </c>
      <c r="T72" s="200"/>
      <c r="U72" s="200"/>
      <c r="V72" s="200"/>
      <c r="W72" s="200">
        <f t="shared" si="8"/>
        <v>2</v>
      </c>
      <c r="X72" s="200"/>
      <c r="Y72" s="200"/>
      <c r="Z72" s="200"/>
      <c r="AA72" s="444">
        <f t="shared" si="9"/>
        <v>2</v>
      </c>
      <c r="AB72" s="444"/>
      <c r="AC72" s="444"/>
      <c r="AD72" s="444"/>
      <c r="AE72" s="444">
        <f t="shared" si="10"/>
        <v>2</v>
      </c>
    </row>
    <row r="73" spans="1:31" s="28" customFormat="1" ht="14.45" customHeight="1" x14ac:dyDescent="0.25">
      <c r="A73" s="5" t="s">
        <v>571</v>
      </c>
      <c r="B73" s="439" t="s">
        <v>697</v>
      </c>
      <c r="C73" s="197"/>
      <c r="D73" s="198"/>
      <c r="E73" s="198"/>
      <c r="F73" s="198"/>
      <c r="G73" s="198"/>
      <c r="H73" s="198"/>
      <c r="I73" s="198"/>
      <c r="J73" s="199"/>
      <c r="K73" s="199"/>
      <c r="L73" s="199"/>
      <c r="M73" s="200">
        <v>1</v>
      </c>
      <c r="N73" s="200"/>
      <c r="O73" s="200">
        <f t="shared" si="7"/>
        <v>1</v>
      </c>
      <c r="P73" s="200"/>
      <c r="Q73" s="200"/>
      <c r="R73" s="200"/>
      <c r="S73" s="200">
        <v>1</v>
      </c>
      <c r="T73" s="200"/>
      <c r="U73" s="200"/>
      <c r="V73" s="200"/>
      <c r="W73" s="200">
        <f t="shared" si="8"/>
        <v>1</v>
      </c>
      <c r="X73" s="200"/>
      <c r="Y73" s="200"/>
      <c r="Z73" s="200"/>
      <c r="AA73" s="444">
        <f t="shared" si="9"/>
        <v>1</v>
      </c>
      <c r="AB73" s="444"/>
      <c r="AC73" s="444"/>
      <c r="AD73" s="444"/>
      <c r="AE73" s="444">
        <f t="shared" si="10"/>
        <v>1</v>
      </c>
    </row>
    <row r="74" spans="1:31" s="28" customFormat="1" ht="14.45" customHeight="1" x14ac:dyDescent="0.25">
      <c r="A74" s="5" t="s">
        <v>572</v>
      </c>
      <c r="B74" s="439" t="s">
        <v>698</v>
      </c>
      <c r="C74" s="197"/>
      <c r="D74" s="198"/>
      <c r="E74" s="198"/>
      <c r="F74" s="198"/>
      <c r="G74" s="198"/>
      <c r="H74" s="198"/>
      <c r="I74" s="198"/>
      <c r="J74" s="199"/>
      <c r="K74" s="199"/>
      <c r="L74" s="199"/>
      <c r="M74" s="200">
        <v>1</v>
      </c>
      <c r="N74" s="200"/>
      <c r="O74" s="200">
        <f t="shared" si="7"/>
        <v>1</v>
      </c>
      <c r="P74" s="200"/>
      <c r="Q74" s="200"/>
      <c r="R74" s="200"/>
      <c r="S74" s="200">
        <v>1</v>
      </c>
      <c r="T74" s="200"/>
      <c r="U74" s="200"/>
      <c r="V74" s="200"/>
      <c r="W74" s="200">
        <f t="shared" si="8"/>
        <v>1</v>
      </c>
      <c r="X74" s="200"/>
      <c r="Y74" s="200"/>
      <c r="Z74" s="200"/>
      <c r="AA74" s="444">
        <f t="shared" si="9"/>
        <v>1</v>
      </c>
      <c r="AB74" s="444"/>
      <c r="AC74" s="444"/>
      <c r="AD74" s="444"/>
      <c r="AE74" s="444">
        <f t="shared" si="10"/>
        <v>1</v>
      </c>
    </row>
    <row r="75" spans="1:31" s="28" customFormat="1" ht="14.45" customHeight="1" x14ac:dyDescent="0.25">
      <c r="A75" s="5" t="s">
        <v>624</v>
      </c>
      <c r="B75" s="439" t="s">
        <v>1042</v>
      </c>
      <c r="C75" s="197"/>
      <c r="D75" s="198"/>
      <c r="E75" s="198"/>
      <c r="F75" s="198"/>
      <c r="G75" s="198"/>
      <c r="H75" s="198"/>
      <c r="I75" s="198"/>
      <c r="J75" s="199"/>
      <c r="K75" s="199"/>
      <c r="L75" s="199"/>
      <c r="M75" s="200">
        <v>1</v>
      </c>
      <c r="N75" s="200"/>
      <c r="O75" s="200">
        <f t="shared" si="7"/>
        <v>1</v>
      </c>
      <c r="P75" s="200"/>
      <c r="Q75" s="200"/>
      <c r="R75" s="200"/>
      <c r="S75" s="200">
        <v>1</v>
      </c>
      <c r="T75" s="200"/>
      <c r="U75" s="200"/>
      <c r="V75" s="200"/>
      <c r="W75" s="200">
        <f t="shared" si="8"/>
        <v>1</v>
      </c>
      <c r="X75" s="200"/>
      <c r="Y75" s="200"/>
      <c r="Z75" s="200"/>
      <c r="AA75" s="444">
        <f t="shared" si="9"/>
        <v>1</v>
      </c>
      <c r="AB75" s="444"/>
      <c r="AC75" s="444"/>
      <c r="AD75" s="444"/>
      <c r="AE75" s="444">
        <f t="shared" si="10"/>
        <v>1</v>
      </c>
    </row>
    <row r="76" spans="1:31" s="28" customFormat="1" ht="14.45" customHeight="1" x14ac:dyDescent="0.25">
      <c r="A76" s="5" t="s">
        <v>625</v>
      </c>
      <c r="B76" s="439" t="s">
        <v>1043</v>
      </c>
      <c r="C76" s="197"/>
      <c r="D76" s="198"/>
      <c r="E76" s="198"/>
      <c r="F76" s="198"/>
      <c r="G76" s="198"/>
      <c r="H76" s="198"/>
      <c r="I76" s="198"/>
      <c r="J76" s="199"/>
      <c r="K76" s="199"/>
      <c r="L76" s="199"/>
      <c r="M76" s="200">
        <v>1</v>
      </c>
      <c r="N76" s="200"/>
      <c r="O76" s="200">
        <f t="shared" si="7"/>
        <v>1</v>
      </c>
      <c r="P76" s="200"/>
      <c r="Q76" s="200"/>
      <c r="R76" s="200"/>
      <c r="S76" s="200">
        <v>1</v>
      </c>
      <c r="T76" s="200"/>
      <c r="U76" s="200"/>
      <c r="V76" s="200"/>
      <c r="W76" s="200">
        <f t="shared" si="8"/>
        <v>1</v>
      </c>
      <c r="X76" s="200"/>
      <c r="Y76" s="200"/>
      <c r="Z76" s="200"/>
      <c r="AA76" s="444">
        <f t="shared" si="9"/>
        <v>1</v>
      </c>
      <c r="AB76" s="444"/>
      <c r="AC76" s="444"/>
      <c r="AD76" s="444"/>
      <c r="AE76" s="444">
        <f t="shared" si="10"/>
        <v>1</v>
      </c>
    </row>
    <row r="77" spans="1:31" s="28" customFormat="1" ht="14.45" customHeight="1" x14ac:dyDescent="0.25">
      <c r="A77" s="5" t="s">
        <v>626</v>
      </c>
      <c r="B77" s="439" t="s">
        <v>699</v>
      </c>
      <c r="C77" s="197"/>
      <c r="D77" s="198"/>
      <c r="E77" s="198"/>
      <c r="F77" s="198"/>
      <c r="G77" s="198"/>
      <c r="H77" s="198"/>
      <c r="I77" s="198"/>
      <c r="J77" s="199"/>
      <c r="K77" s="199"/>
      <c r="L77" s="199"/>
      <c r="M77" s="200">
        <v>1</v>
      </c>
      <c r="N77" s="200"/>
      <c r="O77" s="200">
        <f t="shared" si="7"/>
        <v>1</v>
      </c>
      <c r="P77" s="200"/>
      <c r="Q77" s="200"/>
      <c r="R77" s="200"/>
      <c r="S77" s="200">
        <v>1</v>
      </c>
      <c r="T77" s="200"/>
      <c r="U77" s="200"/>
      <c r="V77" s="200"/>
      <c r="W77" s="200">
        <f t="shared" si="8"/>
        <v>1</v>
      </c>
      <c r="X77" s="200"/>
      <c r="Y77" s="200"/>
      <c r="Z77" s="200"/>
      <c r="AA77" s="444">
        <f t="shared" si="9"/>
        <v>1</v>
      </c>
      <c r="AB77" s="444"/>
      <c r="AC77" s="444"/>
      <c r="AD77" s="444"/>
      <c r="AE77" s="444">
        <f t="shared" si="10"/>
        <v>1</v>
      </c>
    </row>
    <row r="78" spans="1:31" s="28" customFormat="1" ht="14.45" customHeight="1" x14ac:dyDescent="0.25">
      <c r="A78" s="5" t="s">
        <v>627</v>
      </c>
      <c r="B78" s="439" t="s">
        <v>700</v>
      </c>
      <c r="C78" s="197"/>
      <c r="D78" s="198"/>
      <c r="E78" s="198"/>
      <c r="F78" s="198"/>
      <c r="G78" s="198"/>
      <c r="H78" s="198"/>
      <c r="I78" s="198"/>
      <c r="J78" s="199"/>
      <c r="K78" s="199"/>
      <c r="L78" s="199"/>
      <c r="M78" s="200">
        <v>1</v>
      </c>
      <c r="N78" s="200"/>
      <c r="O78" s="200">
        <f t="shared" si="7"/>
        <v>1</v>
      </c>
      <c r="P78" s="200"/>
      <c r="Q78" s="200"/>
      <c r="R78" s="200"/>
      <c r="S78" s="200">
        <v>1</v>
      </c>
      <c r="T78" s="200"/>
      <c r="U78" s="200"/>
      <c r="V78" s="200"/>
      <c r="W78" s="200">
        <f t="shared" si="8"/>
        <v>1</v>
      </c>
      <c r="X78" s="200"/>
      <c r="Y78" s="200"/>
      <c r="Z78" s="200"/>
      <c r="AA78" s="444">
        <f t="shared" si="9"/>
        <v>1</v>
      </c>
      <c r="AB78" s="444"/>
      <c r="AC78" s="444"/>
      <c r="AD78" s="444"/>
      <c r="AE78" s="444">
        <f t="shared" si="10"/>
        <v>1</v>
      </c>
    </row>
    <row r="79" spans="1:31" s="28" customFormat="1" ht="14.45" customHeight="1" x14ac:dyDescent="0.25">
      <c r="A79" s="5" t="s">
        <v>115</v>
      </c>
      <c r="B79" s="445" t="s">
        <v>701</v>
      </c>
      <c r="C79" s="197"/>
      <c r="D79" s="198"/>
      <c r="E79" s="198"/>
      <c r="F79" s="198"/>
      <c r="G79" s="198"/>
      <c r="H79" s="198"/>
      <c r="I79" s="198"/>
      <c r="J79" s="199"/>
      <c r="K79" s="199"/>
      <c r="L79" s="199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444"/>
      <c r="AB79" s="444"/>
      <c r="AC79" s="444"/>
      <c r="AD79" s="444"/>
      <c r="AE79" s="444"/>
    </row>
    <row r="80" spans="1:31" s="28" customFormat="1" ht="14.45" customHeight="1" x14ac:dyDescent="0.25">
      <c r="A80" s="5" t="s">
        <v>652</v>
      </c>
      <c r="B80" s="439" t="s">
        <v>702</v>
      </c>
      <c r="C80" s="197"/>
      <c r="D80" s="198"/>
      <c r="E80" s="198"/>
      <c r="F80" s="198"/>
      <c r="G80" s="198"/>
      <c r="H80" s="198"/>
      <c r="I80" s="198"/>
      <c r="J80" s="199"/>
      <c r="K80" s="199"/>
      <c r="L80" s="199"/>
      <c r="M80" s="200">
        <v>1</v>
      </c>
      <c r="N80" s="200"/>
      <c r="O80" s="200">
        <f t="shared" ref="O80:O87" si="11">M80</f>
        <v>1</v>
      </c>
      <c r="P80" s="200"/>
      <c r="Q80" s="200"/>
      <c r="R80" s="200"/>
      <c r="S80" s="200">
        <v>1</v>
      </c>
      <c r="T80" s="200"/>
      <c r="U80" s="200"/>
      <c r="V80" s="200"/>
      <c r="W80" s="200">
        <f t="shared" ref="W80:W87" si="12">D80+J80+O80</f>
        <v>1</v>
      </c>
      <c r="X80" s="200"/>
      <c r="Y80" s="200"/>
      <c r="Z80" s="200"/>
      <c r="AA80" s="444">
        <f t="shared" ref="AA80:AA87" si="13">S80+X80/2</f>
        <v>1</v>
      </c>
      <c r="AB80" s="444"/>
      <c r="AC80" s="444"/>
      <c r="AD80" s="444"/>
      <c r="AE80" s="444">
        <f t="shared" ref="AE80:AE87" si="14">W80+Z80/2</f>
        <v>1</v>
      </c>
    </row>
    <row r="81" spans="1:31" s="28" customFormat="1" ht="14.45" customHeight="1" x14ac:dyDescent="0.25">
      <c r="A81" s="5" t="s">
        <v>653</v>
      </c>
      <c r="B81" s="439" t="s">
        <v>703</v>
      </c>
      <c r="C81" s="197"/>
      <c r="D81" s="198"/>
      <c r="E81" s="198"/>
      <c r="F81" s="198"/>
      <c r="G81" s="198"/>
      <c r="H81" s="198"/>
      <c r="I81" s="198"/>
      <c r="J81" s="199"/>
      <c r="K81" s="199"/>
      <c r="L81" s="199"/>
      <c r="M81" s="200">
        <v>1</v>
      </c>
      <c r="N81" s="200"/>
      <c r="O81" s="200">
        <f t="shared" si="11"/>
        <v>1</v>
      </c>
      <c r="P81" s="200"/>
      <c r="Q81" s="200"/>
      <c r="R81" s="200"/>
      <c r="S81" s="200">
        <v>1</v>
      </c>
      <c r="T81" s="200"/>
      <c r="U81" s="200"/>
      <c r="V81" s="200"/>
      <c r="W81" s="200">
        <f t="shared" si="12"/>
        <v>1</v>
      </c>
      <c r="X81" s="200"/>
      <c r="Y81" s="200"/>
      <c r="Z81" s="200"/>
      <c r="AA81" s="444">
        <f t="shared" si="13"/>
        <v>1</v>
      </c>
      <c r="AB81" s="444"/>
      <c r="AC81" s="444"/>
      <c r="AD81" s="444"/>
      <c r="AE81" s="444">
        <f t="shared" si="14"/>
        <v>1</v>
      </c>
    </row>
    <row r="82" spans="1:31" s="28" customFormat="1" ht="14.45" customHeight="1" x14ac:dyDescent="0.25">
      <c r="A82" s="5" t="s">
        <v>118</v>
      </c>
      <c r="B82" s="439" t="s">
        <v>704</v>
      </c>
      <c r="C82" s="197"/>
      <c r="D82" s="198"/>
      <c r="E82" s="198"/>
      <c r="F82" s="198"/>
      <c r="G82" s="198"/>
      <c r="H82" s="198"/>
      <c r="I82" s="198"/>
      <c r="J82" s="199"/>
      <c r="K82" s="199"/>
      <c r="L82" s="199"/>
      <c r="M82" s="200">
        <v>1</v>
      </c>
      <c r="N82" s="200"/>
      <c r="O82" s="200">
        <f t="shared" si="11"/>
        <v>1</v>
      </c>
      <c r="P82" s="200"/>
      <c r="Q82" s="200"/>
      <c r="R82" s="200"/>
      <c r="S82" s="200">
        <v>1</v>
      </c>
      <c r="T82" s="200"/>
      <c r="U82" s="200"/>
      <c r="V82" s="200"/>
      <c r="W82" s="200">
        <f t="shared" si="12"/>
        <v>1</v>
      </c>
      <c r="X82" s="200"/>
      <c r="Y82" s="200"/>
      <c r="Z82" s="200"/>
      <c r="AA82" s="444">
        <f t="shared" si="13"/>
        <v>1</v>
      </c>
      <c r="AB82" s="444"/>
      <c r="AC82" s="444"/>
      <c r="AD82" s="444"/>
      <c r="AE82" s="444">
        <f t="shared" si="14"/>
        <v>1</v>
      </c>
    </row>
    <row r="83" spans="1:31" s="28" customFormat="1" ht="14.45" customHeight="1" x14ac:dyDescent="0.25">
      <c r="A83" s="5" t="s">
        <v>119</v>
      </c>
      <c r="B83" s="445" t="s">
        <v>705</v>
      </c>
      <c r="C83" s="197"/>
      <c r="D83" s="198"/>
      <c r="E83" s="198"/>
      <c r="F83" s="198"/>
      <c r="G83" s="198"/>
      <c r="H83" s="198"/>
      <c r="I83" s="198"/>
      <c r="J83" s="199"/>
      <c r="K83" s="199"/>
      <c r="L83" s="199"/>
      <c r="M83" s="200"/>
      <c r="N83" s="200"/>
      <c r="O83" s="200">
        <f t="shared" si="11"/>
        <v>0</v>
      </c>
      <c r="P83" s="200"/>
      <c r="Q83" s="200"/>
      <c r="R83" s="200"/>
      <c r="S83" s="200"/>
      <c r="T83" s="200"/>
      <c r="U83" s="200"/>
      <c r="V83" s="200"/>
      <c r="W83" s="200">
        <f t="shared" si="12"/>
        <v>0</v>
      </c>
      <c r="X83" s="200"/>
      <c r="Y83" s="200"/>
      <c r="Z83" s="200"/>
      <c r="AA83" s="444">
        <f t="shared" si="13"/>
        <v>0</v>
      </c>
      <c r="AB83" s="444"/>
      <c r="AC83" s="444"/>
      <c r="AD83" s="444"/>
      <c r="AE83" s="444">
        <f t="shared" si="14"/>
        <v>0</v>
      </c>
    </row>
    <row r="84" spans="1:31" s="28" customFormat="1" ht="14.45" customHeight="1" x14ac:dyDescent="0.25">
      <c r="A84" s="5" t="s">
        <v>120</v>
      </c>
      <c r="B84" s="439" t="s">
        <v>706</v>
      </c>
      <c r="C84" s="197"/>
      <c r="D84" s="198"/>
      <c r="E84" s="198"/>
      <c r="F84" s="198"/>
      <c r="G84" s="198"/>
      <c r="H84" s="198"/>
      <c r="I84" s="198"/>
      <c r="J84" s="199"/>
      <c r="K84" s="199"/>
      <c r="L84" s="199"/>
      <c r="M84" s="200">
        <v>1</v>
      </c>
      <c r="N84" s="200"/>
      <c r="O84" s="200">
        <f t="shared" si="11"/>
        <v>1</v>
      </c>
      <c r="P84" s="200"/>
      <c r="Q84" s="200"/>
      <c r="R84" s="200"/>
      <c r="S84" s="200">
        <v>1</v>
      </c>
      <c r="T84" s="200"/>
      <c r="U84" s="200"/>
      <c r="V84" s="200"/>
      <c r="W84" s="200">
        <f t="shared" si="12"/>
        <v>1</v>
      </c>
      <c r="X84" s="200"/>
      <c r="Y84" s="200"/>
      <c r="Z84" s="200"/>
      <c r="AA84" s="444">
        <f t="shared" si="13"/>
        <v>1</v>
      </c>
      <c r="AB84" s="444"/>
      <c r="AC84" s="444"/>
      <c r="AD84" s="444"/>
      <c r="AE84" s="444">
        <f t="shared" si="14"/>
        <v>1</v>
      </c>
    </row>
    <row r="85" spans="1:31" s="28" customFormat="1" ht="14.45" customHeight="1" x14ac:dyDescent="0.25">
      <c r="A85" s="5" t="s">
        <v>123</v>
      </c>
      <c r="B85" s="439" t="s">
        <v>707</v>
      </c>
      <c r="C85" s="197"/>
      <c r="D85" s="198"/>
      <c r="E85" s="198"/>
      <c r="F85" s="198"/>
      <c r="G85" s="198"/>
      <c r="H85" s="198"/>
      <c r="I85" s="198"/>
      <c r="J85" s="199"/>
      <c r="K85" s="199"/>
      <c r="L85" s="199"/>
      <c r="M85" s="200">
        <v>1</v>
      </c>
      <c r="N85" s="200"/>
      <c r="O85" s="200">
        <f t="shared" si="11"/>
        <v>1</v>
      </c>
      <c r="P85" s="200"/>
      <c r="Q85" s="200"/>
      <c r="R85" s="200"/>
      <c r="S85" s="200">
        <v>1</v>
      </c>
      <c r="T85" s="200"/>
      <c r="U85" s="200"/>
      <c r="V85" s="200"/>
      <c r="W85" s="200">
        <f t="shared" si="12"/>
        <v>1</v>
      </c>
      <c r="X85" s="200"/>
      <c r="Y85" s="200"/>
      <c r="Z85" s="200"/>
      <c r="AA85" s="444">
        <f t="shared" si="13"/>
        <v>1</v>
      </c>
      <c r="AB85" s="444"/>
      <c r="AC85" s="444"/>
      <c r="AD85" s="444"/>
      <c r="AE85" s="444">
        <f t="shared" si="14"/>
        <v>1</v>
      </c>
    </row>
    <row r="86" spans="1:31" s="28" customFormat="1" ht="14.45" customHeight="1" x14ac:dyDescent="0.25">
      <c r="A86" s="5" t="s">
        <v>126</v>
      </c>
      <c r="B86" s="439" t="s">
        <v>708</v>
      </c>
      <c r="C86" s="197"/>
      <c r="D86" s="198"/>
      <c r="E86" s="198"/>
      <c r="F86" s="198"/>
      <c r="G86" s="198"/>
      <c r="H86" s="198"/>
      <c r="I86" s="198"/>
      <c r="J86" s="199"/>
      <c r="K86" s="199"/>
      <c r="L86" s="199"/>
      <c r="M86" s="200">
        <v>3</v>
      </c>
      <c r="N86" s="200"/>
      <c r="O86" s="200">
        <f t="shared" si="11"/>
        <v>3</v>
      </c>
      <c r="P86" s="200"/>
      <c r="Q86" s="200"/>
      <c r="R86" s="200"/>
      <c r="S86" s="200">
        <v>3</v>
      </c>
      <c r="T86" s="200"/>
      <c r="U86" s="200"/>
      <c r="V86" s="200"/>
      <c r="W86" s="200">
        <f t="shared" si="12"/>
        <v>3</v>
      </c>
      <c r="X86" s="200"/>
      <c r="Y86" s="200"/>
      <c r="Z86" s="200"/>
      <c r="AA86" s="444">
        <f t="shared" si="13"/>
        <v>3</v>
      </c>
      <c r="AB86" s="444"/>
      <c r="AC86" s="444"/>
      <c r="AD86" s="444"/>
      <c r="AE86" s="444">
        <f t="shared" si="14"/>
        <v>3</v>
      </c>
    </row>
    <row r="87" spans="1:31" s="28" customFormat="1" ht="14.45" customHeight="1" x14ac:dyDescent="0.25">
      <c r="A87" s="5" t="s">
        <v>127</v>
      </c>
      <c r="B87" s="439" t="s">
        <v>909</v>
      </c>
      <c r="C87" s="197"/>
      <c r="D87" s="198"/>
      <c r="E87" s="198"/>
      <c r="F87" s="198"/>
      <c r="G87" s="198"/>
      <c r="H87" s="198"/>
      <c r="I87" s="198"/>
      <c r="J87" s="199"/>
      <c r="K87" s="199"/>
      <c r="L87" s="199"/>
      <c r="M87" s="200">
        <v>1</v>
      </c>
      <c r="N87" s="200"/>
      <c r="O87" s="200">
        <f t="shared" si="11"/>
        <v>1</v>
      </c>
      <c r="P87" s="200"/>
      <c r="Q87" s="200"/>
      <c r="R87" s="200"/>
      <c r="S87" s="200">
        <v>1</v>
      </c>
      <c r="T87" s="200"/>
      <c r="U87" s="200"/>
      <c r="V87" s="200"/>
      <c r="W87" s="200">
        <f t="shared" si="12"/>
        <v>1</v>
      </c>
      <c r="X87" s="200"/>
      <c r="Y87" s="200"/>
      <c r="Z87" s="200"/>
      <c r="AA87" s="444">
        <f t="shared" si="13"/>
        <v>1</v>
      </c>
      <c r="AB87" s="444"/>
      <c r="AC87" s="444"/>
      <c r="AD87" s="444"/>
      <c r="AE87" s="444">
        <f t="shared" si="14"/>
        <v>1</v>
      </c>
    </row>
    <row r="88" spans="1:31" s="28" customFormat="1" ht="14.45" customHeight="1" x14ac:dyDescent="0.25">
      <c r="A88" s="5" t="s">
        <v>128</v>
      </c>
      <c r="B88" s="445" t="s">
        <v>709</v>
      </c>
      <c r="C88" s="197"/>
      <c r="D88" s="198"/>
      <c r="E88" s="198"/>
      <c r="F88" s="198"/>
      <c r="G88" s="198"/>
      <c r="H88" s="198"/>
      <c r="I88" s="198"/>
      <c r="J88" s="199"/>
      <c r="K88" s="199"/>
      <c r="L88" s="199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444"/>
      <c r="AB88" s="444"/>
      <c r="AC88" s="444"/>
      <c r="AD88" s="444"/>
      <c r="AE88" s="444"/>
    </row>
    <row r="89" spans="1:31" s="28" customFormat="1" ht="14.45" customHeight="1" x14ac:dyDescent="0.25">
      <c r="A89" s="5" t="s">
        <v>129</v>
      </c>
      <c r="B89" s="439" t="s">
        <v>710</v>
      </c>
      <c r="C89" s="197"/>
      <c r="D89" s="198"/>
      <c r="E89" s="198"/>
      <c r="F89" s="198"/>
      <c r="G89" s="198"/>
      <c r="H89" s="198"/>
      <c r="I89" s="198"/>
      <c r="J89" s="199"/>
      <c r="K89" s="199"/>
      <c r="L89" s="199"/>
      <c r="M89" s="200">
        <v>1</v>
      </c>
      <c r="N89" s="200"/>
      <c r="O89" s="200">
        <f>M89</f>
        <v>1</v>
      </c>
      <c r="P89" s="200"/>
      <c r="Q89" s="200"/>
      <c r="R89" s="200"/>
      <c r="S89" s="200">
        <v>1</v>
      </c>
      <c r="T89" s="200"/>
      <c r="U89" s="200"/>
      <c r="V89" s="200"/>
      <c r="W89" s="200">
        <f>D89+J89+O89</f>
        <v>1</v>
      </c>
      <c r="X89" s="200"/>
      <c r="Y89" s="200"/>
      <c r="Z89" s="200"/>
      <c r="AA89" s="444">
        <f>S89+X89/2</f>
        <v>1</v>
      </c>
      <c r="AB89" s="444"/>
      <c r="AC89" s="444"/>
      <c r="AD89" s="444"/>
      <c r="AE89" s="444">
        <f>W89+Z89/2</f>
        <v>1</v>
      </c>
    </row>
    <row r="90" spans="1:31" s="28" customFormat="1" ht="14.45" customHeight="1" x14ac:dyDescent="0.25">
      <c r="A90" s="5" t="s">
        <v>132</v>
      </c>
      <c r="B90" s="439" t="s">
        <v>711</v>
      </c>
      <c r="C90" s="197"/>
      <c r="D90" s="198"/>
      <c r="E90" s="198"/>
      <c r="F90" s="198"/>
      <c r="G90" s="198"/>
      <c r="H90" s="198"/>
      <c r="I90" s="198"/>
      <c r="J90" s="199"/>
      <c r="K90" s="199"/>
      <c r="L90" s="199"/>
      <c r="M90" s="200">
        <v>2</v>
      </c>
      <c r="N90" s="200"/>
      <c r="O90" s="200">
        <f>M90</f>
        <v>2</v>
      </c>
      <c r="P90" s="200"/>
      <c r="Q90" s="200"/>
      <c r="R90" s="200"/>
      <c r="S90" s="200">
        <v>2</v>
      </c>
      <c r="T90" s="200"/>
      <c r="U90" s="200"/>
      <c r="V90" s="200"/>
      <c r="W90" s="200">
        <f>D90+J90+O90</f>
        <v>2</v>
      </c>
      <c r="X90" s="200"/>
      <c r="Y90" s="200"/>
      <c r="Z90" s="200"/>
      <c r="AA90" s="444">
        <f>S90+X90/2</f>
        <v>2</v>
      </c>
      <c r="AB90" s="444"/>
      <c r="AC90" s="444"/>
      <c r="AD90" s="444"/>
      <c r="AE90" s="444">
        <f>W90+Z90/2</f>
        <v>2</v>
      </c>
    </row>
    <row r="91" spans="1:31" s="28" customFormat="1" ht="14.45" customHeight="1" x14ac:dyDescent="0.25">
      <c r="A91" s="5" t="s">
        <v>135</v>
      </c>
      <c r="B91" s="439" t="s">
        <v>712</v>
      </c>
      <c r="C91" s="197"/>
      <c r="D91" s="198"/>
      <c r="E91" s="198"/>
      <c r="F91" s="198"/>
      <c r="G91" s="198"/>
      <c r="H91" s="198"/>
      <c r="I91" s="198"/>
      <c r="J91" s="199"/>
      <c r="K91" s="199"/>
      <c r="L91" s="199"/>
      <c r="M91" s="200">
        <v>1</v>
      </c>
      <c r="N91" s="200"/>
      <c r="O91" s="200">
        <f>M91</f>
        <v>1</v>
      </c>
      <c r="P91" s="200"/>
      <c r="Q91" s="200"/>
      <c r="R91" s="200"/>
      <c r="S91" s="200">
        <v>1</v>
      </c>
      <c r="T91" s="200"/>
      <c r="U91" s="200"/>
      <c r="V91" s="200"/>
      <c r="W91" s="200">
        <f>D91+J91+O91</f>
        <v>1</v>
      </c>
      <c r="X91" s="200"/>
      <c r="Y91" s="200"/>
      <c r="Z91" s="200"/>
      <c r="AA91" s="444">
        <f>S91+X91/2</f>
        <v>1</v>
      </c>
      <c r="AB91" s="444"/>
      <c r="AC91" s="444"/>
      <c r="AD91" s="444"/>
      <c r="AE91" s="444">
        <f>W91+Z91/2</f>
        <v>1</v>
      </c>
    </row>
    <row r="92" spans="1:31" s="28" customFormat="1" ht="14.45" customHeight="1" x14ac:dyDescent="0.25">
      <c r="A92" s="5" t="s">
        <v>138</v>
      </c>
      <c r="B92" s="679" t="s">
        <v>1057</v>
      </c>
      <c r="C92" s="680"/>
      <c r="D92" s="681"/>
      <c r="E92" s="681"/>
      <c r="F92" s="681"/>
      <c r="G92" s="681"/>
      <c r="H92" s="681"/>
      <c r="I92" s="681"/>
      <c r="J92" s="682"/>
      <c r="K92" s="682"/>
      <c r="L92" s="682"/>
      <c r="M92" s="683">
        <v>0.5</v>
      </c>
      <c r="N92" s="683"/>
      <c r="O92" s="683">
        <f>M92</f>
        <v>0.5</v>
      </c>
      <c r="P92" s="683"/>
      <c r="Q92" s="683"/>
      <c r="R92" s="683"/>
      <c r="S92" s="683">
        <f>M92+P92</f>
        <v>0.5</v>
      </c>
      <c r="T92" s="683"/>
      <c r="U92" s="683"/>
      <c r="V92" s="683"/>
      <c r="W92" s="683">
        <f>D92+J92+O92</f>
        <v>0.5</v>
      </c>
      <c r="X92" s="683"/>
      <c r="Y92" s="683"/>
      <c r="Z92" s="683"/>
      <c r="AA92" s="684">
        <f>S92+X92</f>
        <v>0.5</v>
      </c>
      <c r="AB92" s="684"/>
      <c r="AC92" s="684"/>
      <c r="AD92" s="685"/>
      <c r="AE92" s="686">
        <f>W92+Z92/2</f>
        <v>0.5</v>
      </c>
    </row>
    <row r="93" spans="1:31" s="28" customFormat="1" ht="14.45" customHeight="1" x14ac:dyDescent="0.25">
      <c r="A93" s="5" t="s">
        <v>139</v>
      </c>
      <c r="B93" s="193" t="s">
        <v>713</v>
      </c>
      <c r="C93" s="197"/>
      <c r="D93" s="198"/>
      <c r="E93" s="198"/>
      <c r="F93" s="198"/>
      <c r="G93" s="198"/>
      <c r="H93" s="198"/>
      <c r="I93" s="198"/>
      <c r="J93" s="199"/>
      <c r="K93" s="199"/>
      <c r="L93" s="199"/>
      <c r="M93" s="200">
        <f>SUM(M70:M92)</f>
        <v>23.5</v>
      </c>
      <c r="N93" s="200"/>
      <c r="O93" s="200">
        <f>M93</f>
        <v>23.5</v>
      </c>
      <c r="P93" s="200">
        <f>SUM(P70:P91)</f>
        <v>0</v>
      </c>
      <c r="Q93" s="200"/>
      <c r="R93" s="200">
        <f>SUM(R70:R91)</f>
        <v>0</v>
      </c>
      <c r="S93" s="200">
        <f>SUM(S70:S92)</f>
        <v>23.5</v>
      </c>
      <c r="T93" s="200"/>
      <c r="U93" s="200"/>
      <c r="V93" s="200"/>
      <c r="W93" s="200">
        <f>D93+J93+O93</f>
        <v>23.5</v>
      </c>
      <c r="X93" s="200">
        <f>SUM(X70:X91)</f>
        <v>0</v>
      </c>
      <c r="Y93" s="200"/>
      <c r="Z93" s="200">
        <f>SUM(Z70:Z91)</f>
        <v>0</v>
      </c>
      <c r="AA93" s="540">
        <f>S93+X93/2</f>
        <v>23.5</v>
      </c>
      <c r="AB93" s="540"/>
      <c r="AC93" s="540"/>
      <c r="AD93" s="600">
        <v>0</v>
      </c>
      <c r="AE93" s="540">
        <f>SUM(AE70:AE92)</f>
        <v>23.5</v>
      </c>
    </row>
    <row r="94" spans="1:31" s="28" customFormat="1" ht="14.45" customHeight="1" x14ac:dyDescent="0.25">
      <c r="A94" s="5"/>
      <c r="B94" s="440"/>
      <c r="C94" s="523"/>
      <c r="D94" s="524"/>
      <c r="E94" s="524"/>
      <c r="F94" s="524"/>
      <c r="G94" s="524"/>
      <c r="H94" s="524"/>
      <c r="I94" s="524"/>
      <c r="J94" s="525"/>
      <c r="K94" s="525"/>
      <c r="L94" s="525"/>
      <c r="M94" s="526"/>
      <c r="N94" s="526"/>
      <c r="O94" s="526"/>
      <c r="P94" s="526"/>
      <c r="Q94" s="526"/>
      <c r="R94" s="526"/>
      <c r="S94" s="526"/>
      <c r="T94" s="526"/>
      <c r="U94" s="526"/>
      <c r="V94" s="526"/>
      <c r="W94" s="526"/>
      <c r="X94" s="526"/>
      <c r="Y94" s="526"/>
      <c r="Z94" s="526"/>
      <c r="AA94" s="527"/>
      <c r="AB94" s="527"/>
      <c r="AC94" s="527"/>
      <c r="AD94" s="526"/>
      <c r="AE94" s="526"/>
    </row>
    <row r="95" spans="1:31" s="28" customFormat="1" ht="14.45" customHeight="1" x14ac:dyDescent="0.25">
      <c r="A95" s="5"/>
      <c r="B95" s="75"/>
      <c r="C95" s="69"/>
      <c r="D95" s="52"/>
      <c r="E95" s="52"/>
      <c r="F95" s="52"/>
      <c r="G95" s="52"/>
      <c r="H95" s="52"/>
      <c r="I95" s="52"/>
      <c r="J95" s="70"/>
      <c r="K95" s="70"/>
      <c r="L95" s="70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195"/>
      <c r="AB95" s="195"/>
      <c r="AC95" s="195"/>
      <c r="AD95" s="53"/>
      <c r="AE95" s="53"/>
    </row>
    <row r="96" spans="1:31" s="28" customFormat="1" ht="14.45" customHeight="1" x14ac:dyDescent="0.25">
      <c r="A96" s="5"/>
      <c r="B96" s="75"/>
      <c r="C96" s="69"/>
      <c r="D96" s="52"/>
      <c r="E96" s="52"/>
      <c r="F96" s="52"/>
      <c r="G96" s="52"/>
      <c r="H96" s="52"/>
      <c r="I96" s="52"/>
      <c r="J96" s="70"/>
      <c r="K96" s="70"/>
      <c r="L96" s="70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195"/>
      <c r="AB96" s="195"/>
      <c r="AC96" s="195"/>
      <c r="AD96" s="53"/>
      <c r="AE96" s="53"/>
    </row>
    <row r="97" spans="1:249" s="28" customFormat="1" ht="14.45" customHeight="1" x14ac:dyDescent="0.25">
      <c r="A97" s="194" t="s">
        <v>142</v>
      </c>
      <c r="B97" s="75" t="s">
        <v>515</v>
      </c>
      <c r="C97" s="69"/>
      <c r="D97" s="52"/>
      <c r="E97" s="52"/>
      <c r="F97" s="52"/>
      <c r="G97" s="52"/>
      <c r="H97" s="52"/>
      <c r="I97" s="52"/>
      <c r="J97" s="70"/>
      <c r="K97" s="70"/>
      <c r="L97" s="70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195"/>
      <c r="AB97" s="195"/>
      <c r="AC97" s="195"/>
      <c r="AD97" s="53"/>
      <c r="AE97" s="53"/>
    </row>
    <row r="98" spans="1:249" s="28" customFormat="1" ht="14.45" customHeight="1" x14ac:dyDescent="0.25">
      <c r="A98" s="194" t="s">
        <v>143</v>
      </c>
      <c r="B98" s="196" t="s">
        <v>516</v>
      </c>
      <c r="C98" s="197"/>
      <c r="D98" s="198"/>
      <c r="E98" s="198"/>
      <c r="F98" s="198"/>
      <c r="G98" s="198"/>
      <c r="H98" s="198"/>
      <c r="I98" s="198"/>
      <c r="J98" s="199"/>
      <c r="K98" s="199"/>
      <c r="L98" s="199"/>
      <c r="M98" s="199">
        <v>13</v>
      </c>
      <c r="N98" s="199"/>
      <c r="O98" s="199">
        <f>M98</f>
        <v>13</v>
      </c>
      <c r="P98" s="200"/>
      <c r="Q98" s="200"/>
      <c r="R98" s="200"/>
      <c r="S98" s="199">
        <f>M98</f>
        <v>13</v>
      </c>
      <c r="T98" s="199"/>
      <c r="U98" s="199"/>
      <c r="V98" s="200"/>
      <c r="W98" s="200">
        <f>O98+J98+D98</f>
        <v>13</v>
      </c>
      <c r="X98" s="200"/>
      <c r="Y98" s="200"/>
      <c r="Z98" s="200"/>
      <c r="AA98" s="199">
        <f>S98+X98/2</f>
        <v>13</v>
      </c>
      <c r="AB98" s="199"/>
      <c r="AC98" s="199"/>
      <c r="AD98" s="200"/>
      <c r="AE98" s="200">
        <f>W98+Z98/2</f>
        <v>13</v>
      </c>
    </row>
    <row r="99" spans="1:249" s="28" customFormat="1" ht="14.45" customHeight="1" x14ac:dyDescent="0.25">
      <c r="A99" s="194" t="s">
        <v>144</v>
      </c>
      <c r="B99" s="196" t="s">
        <v>517</v>
      </c>
      <c r="C99" s="197"/>
      <c r="D99" s="198"/>
      <c r="E99" s="198"/>
      <c r="F99" s="198"/>
      <c r="G99" s="198"/>
      <c r="H99" s="198"/>
      <c r="I99" s="198"/>
      <c r="J99" s="199"/>
      <c r="K99" s="199"/>
      <c r="L99" s="199"/>
      <c r="M99" s="199">
        <v>8</v>
      </c>
      <c r="N99" s="199"/>
      <c r="O99" s="199">
        <f>M99</f>
        <v>8</v>
      </c>
      <c r="P99" s="200"/>
      <c r="Q99" s="200"/>
      <c r="R99" s="200"/>
      <c r="S99" s="199">
        <f>M99</f>
        <v>8</v>
      </c>
      <c r="T99" s="199"/>
      <c r="U99" s="199"/>
      <c r="V99" s="200"/>
      <c r="W99" s="200">
        <f>S99+V99</f>
        <v>8</v>
      </c>
      <c r="X99" s="200"/>
      <c r="Y99" s="200"/>
      <c r="Z99" s="200"/>
      <c r="AA99" s="199">
        <f>S99+X99/2</f>
        <v>8</v>
      </c>
      <c r="AB99" s="199"/>
      <c r="AC99" s="199"/>
      <c r="AD99" s="200"/>
      <c r="AE99" s="200">
        <f>W99+Z99/2</f>
        <v>8</v>
      </c>
    </row>
    <row r="100" spans="1:249" s="28" customFormat="1" ht="14.45" customHeight="1" x14ac:dyDescent="0.25">
      <c r="A100" s="194" t="s">
        <v>145</v>
      </c>
      <c r="B100" s="196" t="s">
        <v>518</v>
      </c>
      <c r="C100" s="197"/>
      <c r="D100" s="198"/>
      <c r="E100" s="198"/>
      <c r="F100" s="198"/>
      <c r="G100" s="198"/>
      <c r="H100" s="198"/>
      <c r="I100" s="198"/>
      <c r="J100" s="199"/>
      <c r="K100" s="199"/>
      <c r="L100" s="199"/>
      <c r="M100" s="199">
        <v>3</v>
      </c>
      <c r="N100" s="199"/>
      <c r="O100" s="199">
        <f>M100</f>
        <v>3</v>
      </c>
      <c r="P100" s="200"/>
      <c r="Q100" s="200"/>
      <c r="R100" s="200"/>
      <c r="S100" s="199">
        <v>3</v>
      </c>
      <c r="T100" s="199"/>
      <c r="U100" s="199"/>
      <c r="V100" s="200"/>
      <c r="W100" s="200">
        <v>3</v>
      </c>
      <c r="X100" s="200"/>
      <c r="Y100" s="200"/>
      <c r="Z100" s="200"/>
      <c r="AA100" s="199">
        <f>S100+X100/2</f>
        <v>3</v>
      </c>
      <c r="AB100" s="199"/>
      <c r="AC100" s="199"/>
      <c r="AD100" s="200"/>
      <c r="AE100" s="200">
        <f>W100+Z100/2</f>
        <v>3</v>
      </c>
    </row>
    <row r="101" spans="1:249" s="28" customFormat="1" ht="14.45" customHeight="1" x14ac:dyDescent="0.25">
      <c r="A101" s="194" t="s">
        <v>146</v>
      </c>
      <c r="B101" s="201" t="s">
        <v>1134</v>
      </c>
      <c r="C101" s="202"/>
      <c r="D101" s="203"/>
      <c r="E101" s="203"/>
      <c r="F101" s="203"/>
      <c r="G101" s="203"/>
      <c r="H101" s="203"/>
      <c r="I101" s="203"/>
      <c r="J101" s="199"/>
      <c r="K101" s="199"/>
      <c r="L101" s="199"/>
      <c r="M101" s="200">
        <f>M98+M99+M100</f>
        <v>24</v>
      </c>
      <c r="N101" s="200"/>
      <c r="O101" s="200">
        <f>M101</f>
        <v>24</v>
      </c>
      <c r="P101" s="200">
        <v>0</v>
      </c>
      <c r="Q101" s="200"/>
      <c r="R101" s="200">
        <f>R98+R99+R100</f>
        <v>0</v>
      </c>
      <c r="S101" s="200">
        <f>S98+S99+S100</f>
        <v>24</v>
      </c>
      <c r="T101" s="200"/>
      <c r="U101" s="200"/>
      <c r="V101" s="200"/>
      <c r="W101" s="200">
        <f>W98+W99+W100</f>
        <v>24</v>
      </c>
      <c r="X101" s="200">
        <f>X98+X99+X100</f>
        <v>0</v>
      </c>
      <c r="Y101" s="200"/>
      <c r="Z101" s="200">
        <f>Z98+Z99+Z100</f>
        <v>0</v>
      </c>
      <c r="AA101" s="540">
        <f>S101+X101/2</f>
        <v>24</v>
      </c>
      <c r="AB101" s="540"/>
      <c r="AC101" s="540"/>
      <c r="AD101" s="600">
        <v>0</v>
      </c>
      <c r="AE101" s="540">
        <f>W101+Z101/2</f>
        <v>24</v>
      </c>
    </row>
    <row r="102" spans="1:249" ht="15.75" customHeight="1" x14ac:dyDescent="0.25">
      <c r="A102" s="194"/>
      <c r="B102" s="528"/>
      <c r="C102" s="529"/>
      <c r="D102" s="530"/>
      <c r="E102" s="530"/>
      <c r="F102" s="530"/>
      <c r="G102" s="530"/>
      <c r="H102" s="530"/>
      <c r="I102" s="530"/>
      <c r="J102" s="531"/>
      <c r="K102" s="531"/>
      <c r="L102" s="531"/>
      <c r="M102" s="532"/>
      <c r="N102" s="532"/>
      <c r="O102" s="532"/>
      <c r="P102" s="532"/>
      <c r="Q102" s="532"/>
      <c r="R102" s="532"/>
      <c r="S102" s="532"/>
      <c r="T102" s="532"/>
      <c r="U102" s="532"/>
      <c r="V102" s="532"/>
      <c r="W102" s="532"/>
      <c r="X102" s="532"/>
      <c r="Y102" s="532"/>
      <c r="Z102" s="532"/>
      <c r="AA102" s="532"/>
      <c r="AB102" s="532"/>
      <c r="AC102" s="532"/>
      <c r="AD102" s="532"/>
      <c r="AE102" s="533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  <c r="DY102" s="28"/>
      <c r="DZ102" s="28"/>
      <c r="EA102" s="28"/>
      <c r="EB102" s="28"/>
      <c r="EC102" s="28"/>
      <c r="ED102" s="28"/>
      <c r="EE102" s="28"/>
      <c r="EF102" s="28"/>
      <c r="EG102" s="28"/>
      <c r="EH102" s="28"/>
      <c r="EI102" s="28"/>
      <c r="EJ102" s="28"/>
      <c r="EK102" s="28"/>
      <c r="EL102" s="28"/>
      <c r="EM102" s="28"/>
      <c r="EN102" s="28"/>
      <c r="EO102" s="28"/>
      <c r="EP102" s="28"/>
      <c r="EQ102" s="28"/>
      <c r="ER102" s="28"/>
      <c r="ES102" s="28"/>
      <c r="ET102" s="28"/>
      <c r="EU102" s="28"/>
      <c r="EV102" s="28"/>
      <c r="EW102" s="28"/>
      <c r="EX102" s="28"/>
      <c r="EY102" s="28"/>
      <c r="EZ102" s="28"/>
      <c r="FA102" s="28"/>
      <c r="FB102" s="28"/>
      <c r="FC102" s="28"/>
      <c r="FD102" s="28"/>
      <c r="FE102" s="28"/>
      <c r="FF102" s="28"/>
      <c r="FG102" s="28"/>
      <c r="FH102" s="28"/>
      <c r="FI102" s="28"/>
      <c r="FJ102" s="28"/>
      <c r="FK102" s="28"/>
      <c r="FL102" s="28"/>
      <c r="FM102" s="28"/>
      <c r="FN102" s="28"/>
      <c r="FO102" s="28"/>
      <c r="FP102" s="28"/>
      <c r="FQ102" s="28"/>
      <c r="FR102" s="28"/>
      <c r="FS102" s="28"/>
      <c r="FT102" s="28"/>
      <c r="FU102" s="28"/>
      <c r="FV102" s="28"/>
      <c r="FW102" s="28"/>
      <c r="FX102" s="28"/>
      <c r="FY102" s="28"/>
      <c r="FZ102" s="28"/>
      <c r="GA102" s="28"/>
      <c r="GB102" s="28"/>
      <c r="GC102" s="28"/>
      <c r="GD102" s="28"/>
      <c r="GE102" s="28"/>
      <c r="GF102" s="28"/>
      <c r="GG102" s="28"/>
      <c r="GH102" s="28"/>
      <c r="GI102" s="28"/>
      <c r="GJ102" s="28"/>
      <c r="GK102" s="28"/>
      <c r="GL102" s="28"/>
      <c r="GM102" s="28"/>
      <c r="GN102" s="28"/>
      <c r="GO102" s="28"/>
      <c r="GP102" s="28"/>
      <c r="GQ102" s="28"/>
      <c r="GR102" s="28"/>
      <c r="GS102" s="28"/>
      <c r="GT102" s="28"/>
      <c r="GU102" s="28"/>
      <c r="GV102" s="28"/>
      <c r="GW102" s="28"/>
      <c r="GX102" s="28"/>
      <c r="GY102" s="28"/>
      <c r="GZ102" s="28"/>
      <c r="HA102" s="28"/>
      <c r="HB102" s="28"/>
      <c r="HC102" s="28"/>
      <c r="HD102" s="28"/>
      <c r="HE102" s="28"/>
      <c r="HF102" s="28"/>
      <c r="HG102" s="28"/>
      <c r="HH102" s="28"/>
      <c r="HI102" s="28"/>
      <c r="HJ102" s="28"/>
      <c r="HK102" s="28"/>
      <c r="HL102" s="28"/>
      <c r="HM102" s="28"/>
      <c r="HN102" s="28"/>
      <c r="HO102" s="28"/>
      <c r="HP102" s="28"/>
      <c r="HQ102" s="28"/>
      <c r="HR102" s="28"/>
      <c r="HS102" s="28"/>
      <c r="HT102" s="28"/>
      <c r="HU102" s="28"/>
      <c r="HV102" s="28"/>
      <c r="HW102" s="28"/>
      <c r="HX102" s="28"/>
      <c r="HY102" s="28"/>
      <c r="HZ102" s="28"/>
      <c r="IA102" s="28"/>
      <c r="IB102" s="28"/>
      <c r="IC102" s="28"/>
      <c r="ID102" s="28"/>
      <c r="IE102" s="28"/>
      <c r="IF102" s="28"/>
      <c r="IG102" s="28"/>
      <c r="IH102" s="28"/>
      <c r="II102" s="28"/>
      <c r="IJ102" s="28"/>
      <c r="IK102" s="28"/>
      <c r="IL102" s="28"/>
      <c r="IM102" s="28"/>
      <c r="IN102" s="28"/>
      <c r="IO102" s="28"/>
    </row>
    <row r="103" spans="1:249" s="28" customFormat="1" ht="14.45" customHeight="1" x14ac:dyDescent="0.25">
      <c r="A103" s="194"/>
      <c r="B103" s="50"/>
      <c r="C103" s="51"/>
      <c r="D103" s="52"/>
      <c r="E103" s="52"/>
      <c r="F103" s="52"/>
      <c r="G103" s="52"/>
      <c r="H103" s="52"/>
      <c r="I103" s="52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57"/>
      <c r="X103" s="57"/>
      <c r="Y103" s="57"/>
      <c r="Z103" s="57"/>
      <c r="AA103" s="57"/>
      <c r="AB103" s="57"/>
      <c r="AC103" s="57"/>
      <c r="AD103" s="57"/>
      <c r="AE103" s="57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</row>
    <row r="104" spans="1:249" s="28" customFormat="1" ht="15.75" customHeight="1" x14ac:dyDescent="0.25">
      <c r="A104" s="194" t="s">
        <v>148</v>
      </c>
      <c r="B104" s="45" t="s">
        <v>678</v>
      </c>
      <c r="C104" s="46">
        <f>C24+C40+C64</f>
        <v>0</v>
      </c>
      <c r="D104" s="46">
        <f>D24+D40+D64</f>
        <v>0</v>
      </c>
      <c r="E104" s="46"/>
      <c r="F104" s="46"/>
      <c r="G104" s="46">
        <f>G24+G40+G64</f>
        <v>0</v>
      </c>
      <c r="H104" s="46"/>
      <c r="I104" s="46"/>
      <c r="J104" s="46">
        <f>J24+J40+J64</f>
        <v>0</v>
      </c>
      <c r="K104" s="46">
        <f>K24+K40+K64</f>
        <v>0</v>
      </c>
      <c r="L104" s="46">
        <f>L24+L40+L64</f>
        <v>0</v>
      </c>
      <c r="M104" s="46">
        <f t="shared" ref="M104:AE104" si="15">M24+M40+M101+M93</f>
        <v>187</v>
      </c>
      <c r="N104" s="743">
        <f>N24+N40+N93+N101</f>
        <v>2</v>
      </c>
      <c r="O104" s="46">
        <f t="shared" si="15"/>
        <v>189</v>
      </c>
      <c r="P104" s="46">
        <f t="shared" si="15"/>
        <v>1</v>
      </c>
      <c r="Q104" s="46"/>
      <c r="R104" s="46">
        <f t="shared" si="15"/>
        <v>0</v>
      </c>
      <c r="S104" s="46">
        <f t="shared" si="15"/>
        <v>187</v>
      </c>
      <c r="T104" s="46">
        <f>T24+T40+T93+T101</f>
        <v>2</v>
      </c>
      <c r="U104" s="46"/>
      <c r="V104" s="601">
        <f>V101+V93+V40+V24</f>
        <v>0</v>
      </c>
      <c r="W104" s="46">
        <f t="shared" si="15"/>
        <v>189</v>
      </c>
      <c r="X104" s="46">
        <f t="shared" si="15"/>
        <v>1</v>
      </c>
      <c r="Y104" s="46">
        <f>Y24+Y40+Y93+Y101</f>
        <v>-1</v>
      </c>
      <c r="Z104" s="46">
        <f t="shared" si="15"/>
        <v>0</v>
      </c>
      <c r="AA104" s="541">
        <f t="shared" si="15"/>
        <v>187.5</v>
      </c>
      <c r="AB104" s="541">
        <f>AB24+AB40+AB93+AB101</f>
        <v>1.5</v>
      </c>
      <c r="AC104" s="541"/>
      <c r="AD104" s="541">
        <f t="shared" ref="AD104" si="16">AD101+AD93+AD40+AD24</f>
        <v>0</v>
      </c>
      <c r="AE104" s="541">
        <f t="shared" si="15"/>
        <v>189</v>
      </c>
    </row>
    <row r="105" spans="1:249" s="28" customFormat="1" ht="14.45" customHeight="1" x14ac:dyDescent="0.25">
      <c r="A105" s="194"/>
      <c r="B105" s="55"/>
      <c r="C105" s="56"/>
      <c r="D105" s="57"/>
      <c r="E105" s="57"/>
      <c r="F105" s="57"/>
      <c r="G105" s="57"/>
      <c r="H105" s="57"/>
      <c r="I105" s="57"/>
      <c r="J105" s="58"/>
      <c r="K105" s="58"/>
      <c r="L105" s="58"/>
      <c r="M105" s="58"/>
      <c r="N105" s="58"/>
      <c r="O105" s="57"/>
      <c r="P105" s="57"/>
      <c r="Q105" s="57"/>
      <c r="R105" s="57"/>
      <c r="S105" s="57"/>
      <c r="T105" s="53"/>
      <c r="U105" s="53"/>
      <c r="V105" s="53"/>
      <c r="W105" s="67"/>
      <c r="X105" s="68"/>
      <c r="Y105" s="68"/>
      <c r="Z105" s="68"/>
      <c r="AA105" s="355"/>
      <c r="AB105" s="355"/>
      <c r="AC105" s="355"/>
      <c r="AD105" s="355"/>
      <c r="AE105" s="355"/>
    </row>
    <row r="106" spans="1:249" ht="14.45" customHeight="1" x14ac:dyDescent="0.25">
      <c r="A106" s="194" t="s">
        <v>151</v>
      </c>
      <c r="B106" s="45" t="s">
        <v>597</v>
      </c>
      <c r="C106" s="74">
        <f>C10+C12+C104</f>
        <v>9</v>
      </c>
      <c r="D106" s="602">
        <f>D10+D12+D104</f>
        <v>9</v>
      </c>
      <c r="E106" s="597">
        <f>E10++E12+E104</f>
        <v>0</v>
      </c>
      <c r="F106" s="597">
        <f>F104+F12+F10</f>
        <v>0</v>
      </c>
      <c r="G106" s="74">
        <f>G10+G12+G104</f>
        <v>38</v>
      </c>
      <c r="H106" s="74">
        <f t="shared" ref="H106:I106" si="17">H10+H12+H104</f>
        <v>2</v>
      </c>
      <c r="I106" s="74">
        <f t="shared" si="17"/>
        <v>-2</v>
      </c>
      <c r="J106" s="74">
        <f>J10+J12+J104</f>
        <v>38</v>
      </c>
      <c r="K106" s="74">
        <f>K10+K12+K104</f>
        <v>0</v>
      </c>
      <c r="L106" s="74">
        <f>L10+L12+L104</f>
        <v>0</v>
      </c>
      <c r="M106" s="356">
        <f>M104</f>
        <v>187</v>
      </c>
      <c r="N106" s="74">
        <f>N104+N10+N12</f>
        <v>2</v>
      </c>
      <c r="O106" s="356">
        <f>O10+O12+O104</f>
        <v>189</v>
      </c>
      <c r="P106" s="356">
        <f>P10+P12+P104</f>
        <v>1</v>
      </c>
      <c r="Q106" s="356"/>
      <c r="R106" s="356">
        <f>R10+R12+R104</f>
        <v>0</v>
      </c>
      <c r="S106" s="49">
        <f>C106+G106+M106</f>
        <v>234</v>
      </c>
      <c r="T106" s="597">
        <f>T104+T10+T12</f>
        <v>2</v>
      </c>
      <c r="U106" s="597">
        <f>U12+U10</f>
        <v>2</v>
      </c>
      <c r="V106" s="597">
        <f>V10+V12+V104</f>
        <v>-2</v>
      </c>
      <c r="W106" s="192">
        <f>W104+W12+W10</f>
        <v>236</v>
      </c>
      <c r="X106" s="691">
        <f>X10+X12+X104</f>
        <v>1</v>
      </c>
      <c r="Y106" s="691">
        <f>Y104+Y10+Y12</f>
        <v>-1</v>
      </c>
      <c r="Z106" s="365">
        <f>Z10+Z12+Z104</f>
        <v>0</v>
      </c>
      <c r="AA106" s="625">
        <f>AA10+AA12+AA104</f>
        <v>234.5</v>
      </c>
      <c r="AB106" s="625">
        <f>AB104+AB10+AB12</f>
        <v>1.5</v>
      </c>
      <c r="AC106" s="625">
        <f t="shared" ref="AC106" si="18">AC10+AC12+AC104</f>
        <v>2</v>
      </c>
      <c r="AD106" s="625">
        <f>AD10+AD12+AD104</f>
        <v>-2</v>
      </c>
      <c r="AE106" s="386">
        <f>AE104+AE12+AE10</f>
        <v>236</v>
      </c>
      <c r="AF106" s="424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  <c r="DY106" s="28"/>
      <c r="DZ106" s="28"/>
      <c r="EA106" s="28"/>
      <c r="EB106" s="28"/>
      <c r="EC106" s="28"/>
      <c r="ED106" s="28"/>
      <c r="EE106" s="28"/>
      <c r="EF106" s="28"/>
      <c r="EG106" s="28"/>
      <c r="EH106" s="28"/>
      <c r="EI106" s="28"/>
      <c r="EJ106" s="28"/>
      <c r="EK106" s="28"/>
      <c r="EL106" s="28"/>
      <c r="EM106" s="28"/>
      <c r="EN106" s="28"/>
      <c r="EO106" s="28"/>
      <c r="EP106" s="28"/>
      <c r="EQ106" s="28"/>
      <c r="ER106" s="28"/>
      <c r="ES106" s="28"/>
      <c r="ET106" s="28"/>
      <c r="EU106" s="28"/>
      <c r="EV106" s="28"/>
      <c r="EW106" s="28"/>
      <c r="EX106" s="28"/>
      <c r="EY106" s="28"/>
      <c r="EZ106" s="28"/>
      <c r="FA106" s="28"/>
      <c r="FB106" s="28"/>
      <c r="FC106" s="28"/>
      <c r="FD106" s="28"/>
      <c r="FE106" s="28"/>
      <c r="FF106" s="28"/>
      <c r="FG106" s="28"/>
      <c r="FH106" s="28"/>
      <c r="FI106" s="28"/>
      <c r="FJ106" s="28"/>
      <c r="FK106" s="28"/>
      <c r="FL106" s="28"/>
      <c r="FM106" s="28"/>
      <c r="FN106" s="28"/>
      <c r="FO106" s="28"/>
      <c r="FP106" s="28"/>
      <c r="FQ106" s="28"/>
      <c r="FR106" s="28"/>
      <c r="FS106" s="28"/>
      <c r="FT106" s="28"/>
      <c r="FU106" s="28"/>
      <c r="FV106" s="28"/>
      <c r="FW106" s="28"/>
      <c r="FX106" s="28"/>
      <c r="FY106" s="28"/>
      <c r="FZ106" s="28"/>
      <c r="GA106" s="28"/>
      <c r="GB106" s="28"/>
      <c r="GC106" s="28"/>
      <c r="GD106" s="28"/>
      <c r="GE106" s="28"/>
      <c r="GF106" s="28"/>
      <c r="GG106" s="28"/>
      <c r="GH106" s="28"/>
      <c r="GI106" s="28"/>
      <c r="GJ106" s="28"/>
      <c r="GK106" s="28"/>
      <c r="GL106" s="28"/>
      <c r="GM106" s="28"/>
      <c r="GN106" s="28"/>
      <c r="GO106" s="28"/>
      <c r="GP106" s="28"/>
      <c r="GQ106" s="28"/>
      <c r="GR106" s="28"/>
      <c r="GS106" s="28"/>
      <c r="GT106" s="28"/>
      <c r="GU106" s="28"/>
      <c r="GV106" s="28"/>
      <c r="GW106" s="28"/>
      <c r="GX106" s="28"/>
      <c r="GY106" s="28"/>
      <c r="GZ106" s="28"/>
      <c r="HA106" s="28"/>
      <c r="HB106" s="28"/>
      <c r="HC106" s="28"/>
      <c r="HD106" s="28"/>
      <c r="HE106" s="28"/>
      <c r="HF106" s="28"/>
      <c r="HG106" s="28"/>
      <c r="HH106" s="28"/>
      <c r="HI106" s="28"/>
      <c r="HJ106" s="28"/>
      <c r="HK106" s="28"/>
      <c r="HL106" s="28"/>
      <c r="HM106" s="28"/>
      <c r="HN106" s="28"/>
      <c r="HO106" s="28"/>
      <c r="HP106" s="28"/>
      <c r="HQ106" s="28"/>
      <c r="HR106" s="28"/>
      <c r="HS106" s="28"/>
      <c r="HT106" s="28"/>
      <c r="HU106" s="28"/>
      <c r="HV106" s="28"/>
      <c r="HW106" s="28"/>
      <c r="HX106" s="28"/>
      <c r="HY106" s="28"/>
      <c r="HZ106" s="28"/>
      <c r="IA106" s="28"/>
      <c r="IB106" s="28"/>
      <c r="IC106" s="28"/>
      <c r="ID106" s="28"/>
      <c r="IE106" s="28"/>
      <c r="IF106" s="28"/>
      <c r="IG106" s="28"/>
      <c r="IH106" s="28"/>
      <c r="II106" s="28"/>
      <c r="IJ106" s="28"/>
      <c r="IK106" s="28"/>
      <c r="IL106" s="28"/>
      <c r="IM106" s="28"/>
      <c r="IN106" s="28"/>
      <c r="IO106" s="28"/>
    </row>
    <row r="107" spans="1:249" ht="15.75" customHeight="1" x14ac:dyDescent="0.25">
      <c r="B107" s="75"/>
      <c r="C107" s="69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366"/>
      <c r="T107" s="366"/>
      <c r="U107" s="366"/>
      <c r="V107" s="438"/>
      <c r="W107" s="366"/>
      <c r="X107" s="438"/>
      <c r="Y107" s="438"/>
      <c r="Z107" s="438"/>
      <c r="AA107" s="438"/>
      <c r="AB107" s="438"/>
      <c r="AC107" s="438"/>
      <c r="AD107" s="438"/>
      <c r="AE107" s="438"/>
    </row>
    <row r="108" spans="1:249" ht="30" customHeight="1" x14ac:dyDescent="0.25">
      <c r="B108" s="1655" t="s">
        <v>1135</v>
      </c>
      <c r="C108" s="1655"/>
      <c r="D108" s="1655"/>
      <c r="E108" s="1655"/>
      <c r="F108" s="1655"/>
      <c r="G108" s="1655"/>
      <c r="H108" s="1655"/>
      <c r="I108" s="1655"/>
      <c r="J108" s="1655"/>
      <c r="K108" s="1655"/>
      <c r="L108" s="1655"/>
      <c r="M108" s="1655"/>
      <c r="N108" s="1655"/>
      <c r="O108" s="1655"/>
      <c r="P108" s="1655"/>
      <c r="Q108" s="1655"/>
      <c r="R108" s="1655"/>
      <c r="S108" s="1655"/>
      <c r="T108" s="1655"/>
      <c r="U108" s="1655"/>
      <c r="V108" s="1655"/>
      <c r="W108" s="1655"/>
      <c r="X108" s="1655"/>
      <c r="Y108" s="1655"/>
      <c r="Z108" s="1655"/>
      <c r="AA108" s="1655"/>
      <c r="AB108" s="1655"/>
      <c r="AC108" s="1655"/>
      <c r="AD108" s="1655"/>
      <c r="AE108" s="1655"/>
      <c r="AF108" s="367"/>
    </row>
    <row r="109" spans="1:249" ht="29.25" customHeight="1" x14ac:dyDescent="0.25">
      <c r="A109" s="16"/>
      <c r="B109" s="1652" t="s">
        <v>1237</v>
      </c>
      <c r="C109" s="1652"/>
      <c r="D109" s="1652"/>
      <c r="E109" s="1652"/>
      <c r="F109" s="1652"/>
      <c r="G109" s="1652"/>
      <c r="H109" s="1652"/>
      <c r="I109" s="1652"/>
      <c r="J109" s="1652"/>
      <c r="K109" s="1652"/>
      <c r="L109" s="1652"/>
      <c r="M109" s="1652"/>
      <c r="N109" s="1652"/>
      <c r="O109" s="1652"/>
      <c r="P109" s="1652"/>
      <c r="Q109" s="1652"/>
      <c r="R109" s="1652"/>
      <c r="S109" s="1652"/>
      <c r="T109" s="1652"/>
      <c r="U109" s="1652"/>
      <c r="V109" s="1652"/>
      <c r="W109" s="1652"/>
      <c r="X109" s="1652"/>
      <c r="Y109" s="1652"/>
      <c r="Z109" s="1652"/>
      <c r="AA109" s="1652"/>
      <c r="AB109" s="1652"/>
      <c r="AC109" s="1652"/>
      <c r="AD109" s="1652"/>
      <c r="AE109" s="1652"/>
      <c r="AF109" s="367"/>
    </row>
    <row r="110" spans="1:249" ht="13.9" customHeight="1" x14ac:dyDescent="0.25">
      <c r="B110" s="22" t="s">
        <v>281</v>
      </c>
    </row>
  </sheetData>
  <sheetProtection selectLockedCells="1" selectUnlockedCells="1"/>
  <mergeCells count="29">
    <mergeCell ref="S6:Z6"/>
    <mergeCell ref="AA6:AE7"/>
    <mergeCell ref="C6:F6"/>
    <mergeCell ref="G6:L6"/>
    <mergeCell ref="B6:B8"/>
    <mergeCell ref="K7:L7"/>
    <mergeCell ref="M6:R6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B109:AE109"/>
    <mergeCell ref="M7:O7"/>
    <mergeCell ref="P7:R7"/>
    <mergeCell ref="S7:W7"/>
    <mergeCell ref="X7:Z7"/>
    <mergeCell ref="B108:AE108"/>
  </mergeCells>
  <pageMargins left="0.39370078740157483" right="0.19685039370078741" top="0.19685039370078741" bottom="0.19685039370078741" header="0.51181102362204722" footer="0.51181102362204722"/>
  <pageSetup paperSize="8" scale="65" firstPageNumber="0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51" t="s">
        <v>1245</v>
      </c>
      <c r="B1" s="1651"/>
      <c r="C1" s="1651"/>
      <c r="D1" s="1651"/>
      <c r="E1" s="1651"/>
      <c r="F1" s="1651"/>
      <c r="G1" s="1651"/>
      <c r="H1" s="1651"/>
      <c r="I1" s="485"/>
      <c r="J1" s="485"/>
      <c r="K1" s="485"/>
      <c r="L1" s="485"/>
      <c r="M1" s="485"/>
      <c r="N1" s="485"/>
      <c r="O1" s="485"/>
      <c r="P1" s="485"/>
      <c r="Q1" s="485"/>
      <c r="R1" s="485"/>
      <c r="S1" s="485"/>
      <c r="T1" s="485"/>
      <c r="U1" s="485"/>
      <c r="V1" s="485"/>
      <c r="W1" s="485"/>
      <c r="X1" s="485"/>
      <c r="Y1" s="485"/>
      <c r="Z1" s="485"/>
      <c r="AA1" s="485"/>
      <c r="AB1" s="485"/>
      <c r="AC1" s="485"/>
      <c r="AD1" s="485"/>
      <c r="AE1" s="485"/>
      <c r="AF1" s="485"/>
      <c r="AG1" s="485"/>
      <c r="AH1" s="485"/>
      <c r="AI1" s="485"/>
    </row>
    <row r="2" spans="1:35" x14ac:dyDescent="0.2">
      <c r="C2" t="s">
        <v>327</v>
      </c>
    </row>
    <row r="3" spans="1:35" ht="14.25" x14ac:dyDescent="0.2">
      <c r="A3" s="1665" t="s">
        <v>316</v>
      </c>
      <c r="B3" s="1665"/>
      <c r="C3" s="1665"/>
      <c r="D3" s="1665"/>
      <c r="E3" s="1665"/>
      <c r="F3" s="1665"/>
      <c r="G3" s="1665"/>
      <c r="H3" s="1665"/>
    </row>
    <row r="4" spans="1:35" ht="14.25" x14ac:dyDescent="0.2">
      <c r="A4" s="1665" t="s">
        <v>317</v>
      </c>
      <c r="B4" s="1665"/>
      <c r="C4" s="1665"/>
      <c r="D4" s="1665"/>
      <c r="E4" s="1665"/>
      <c r="F4" s="1665"/>
      <c r="G4" s="1665"/>
      <c r="H4" s="1665"/>
    </row>
    <row r="5" spans="1:35" ht="14.25" x14ac:dyDescent="0.2">
      <c r="A5" s="1666" t="s">
        <v>55</v>
      </c>
      <c r="B5" s="1666"/>
      <c r="C5" s="1666"/>
      <c r="D5" s="1666"/>
      <c r="E5" s="1666"/>
      <c r="F5" s="1666"/>
      <c r="G5" s="1666"/>
      <c r="H5" s="1666"/>
    </row>
    <row r="6" spans="1:35" ht="15" x14ac:dyDescent="0.25">
      <c r="A6" s="286"/>
      <c r="B6" s="447"/>
      <c r="C6" s="447"/>
      <c r="D6" s="447"/>
      <c r="E6" s="447"/>
    </row>
    <row r="7" spans="1:35" ht="14.25" customHeight="1" x14ac:dyDescent="0.2">
      <c r="A7" s="1667"/>
      <c r="B7" s="448" t="s">
        <v>57</v>
      </c>
      <c r="C7" s="448" t="s">
        <v>58</v>
      </c>
      <c r="D7" s="448" t="s">
        <v>59</v>
      </c>
      <c r="E7" s="448" t="s">
        <v>60</v>
      </c>
      <c r="F7" s="449" t="s">
        <v>470</v>
      </c>
      <c r="G7" s="449" t="s">
        <v>471</v>
      </c>
      <c r="H7" s="449" t="s">
        <v>472</v>
      </c>
    </row>
    <row r="8" spans="1:35" ht="14.25" customHeight="1" x14ac:dyDescent="0.2">
      <c r="A8" s="1667"/>
      <c r="B8" s="1668" t="s">
        <v>777</v>
      </c>
      <c r="C8" s="1669" t="s">
        <v>319</v>
      </c>
      <c r="D8" s="1670" t="s">
        <v>320</v>
      </c>
      <c r="E8" s="1671"/>
      <c r="F8" s="1672"/>
    </row>
    <row r="9" spans="1:35" ht="15.75" x14ac:dyDescent="0.25">
      <c r="A9" s="1667"/>
      <c r="B9" s="1668"/>
      <c r="C9" s="1669"/>
      <c r="D9" s="1670"/>
      <c r="E9" s="289">
        <v>2015</v>
      </c>
      <c r="F9" s="450">
        <v>2017</v>
      </c>
      <c r="G9" s="472">
        <v>2017</v>
      </c>
      <c r="H9" s="472">
        <v>2018</v>
      </c>
    </row>
    <row r="10" spans="1:35" ht="15" x14ac:dyDescent="0.25">
      <c r="A10" s="451"/>
      <c r="B10" s="452" t="s">
        <v>326</v>
      </c>
      <c r="C10" s="453"/>
      <c r="D10" s="473"/>
      <c r="E10" s="453"/>
    </row>
    <row r="11" spans="1:35" ht="15" x14ac:dyDescent="0.25">
      <c r="A11" s="454">
        <v>1</v>
      </c>
      <c r="B11" s="455" t="s">
        <v>778</v>
      </c>
      <c r="C11" s="456" t="s">
        <v>779</v>
      </c>
      <c r="D11" s="474" t="s">
        <v>332</v>
      </c>
      <c r="E11" s="457">
        <v>41</v>
      </c>
      <c r="F11" s="457">
        <v>50</v>
      </c>
      <c r="G11" s="457">
        <v>50</v>
      </c>
      <c r="H11" s="457">
        <v>50</v>
      </c>
    </row>
    <row r="12" spans="1:35" ht="15" x14ac:dyDescent="0.25">
      <c r="A12" s="454">
        <v>2</v>
      </c>
      <c r="B12" s="455" t="s">
        <v>780</v>
      </c>
      <c r="C12" s="456" t="s">
        <v>781</v>
      </c>
      <c r="D12" s="474" t="s">
        <v>332</v>
      </c>
      <c r="E12" s="457">
        <v>125</v>
      </c>
      <c r="F12" s="457">
        <v>147</v>
      </c>
      <c r="G12" s="457">
        <v>147</v>
      </c>
      <c r="H12" s="457">
        <v>147</v>
      </c>
    </row>
    <row r="13" spans="1:35" ht="25.5" customHeight="1" x14ac:dyDescent="0.25">
      <c r="A13" s="454">
        <v>3</v>
      </c>
      <c r="B13" s="458" t="s">
        <v>782</v>
      </c>
      <c r="C13" s="459" t="s">
        <v>725</v>
      </c>
      <c r="D13" s="475" t="s">
        <v>332</v>
      </c>
      <c r="E13" s="460"/>
      <c r="F13" s="460">
        <v>240</v>
      </c>
      <c r="G13" s="460">
        <v>240</v>
      </c>
      <c r="H13" s="460">
        <v>240</v>
      </c>
    </row>
    <row r="14" spans="1:35" ht="15" x14ac:dyDescent="0.25">
      <c r="A14" s="454">
        <v>4</v>
      </c>
      <c r="B14" s="455" t="s">
        <v>375</v>
      </c>
      <c r="C14" s="456" t="s">
        <v>783</v>
      </c>
      <c r="D14" s="474" t="s">
        <v>332</v>
      </c>
      <c r="E14" s="457">
        <v>330</v>
      </c>
      <c r="F14" s="457">
        <v>335</v>
      </c>
      <c r="G14" s="457">
        <v>335</v>
      </c>
      <c r="H14" s="457">
        <v>335</v>
      </c>
    </row>
    <row r="15" spans="1:35" ht="15" x14ac:dyDescent="0.25">
      <c r="A15" s="454">
        <v>5</v>
      </c>
      <c r="B15" s="455" t="s">
        <v>377</v>
      </c>
      <c r="C15" s="456" t="s">
        <v>784</v>
      </c>
      <c r="D15" s="474" t="s">
        <v>332</v>
      </c>
      <c r="E15" s="457">
        <v>930</v>
      </c>
      <c r="F15" s="457">
        <v>960</v>
      </c>
      <c r="G15" s="457">
        <v>960</v>
      </c>
      <c r="H15" s="457">
        <v>960</v>
      </c>
    </row>
    <row r="16" spans="1:35" ht="15" x14ac:dyDescent="0.25">
      <c r="A16" s="454">
        <v>6</v>
      </c>
      <c r="B16" s="455" t="s">
        <v>785</v>
      </c>
      <c r="C16" s="456" t="s">
        <v>786</v>
      </c>
      <c r="D16" s="474" t="s">
        <v>332</v>
      </c>
      <c r="E16" s="457"/>
      <c r="F16" s="457">
        <v>700</v>
      </c>
      <c r="G16" s="457">
        <v>700</v>
      </c>
      <c r="H16" s="457">
        <v>700</v>
      </c>
    </row>
    <row r="17" spans="1:8" ht="15" x14ac:dyDescent="0.25">
      <c r="A17" s="454">
        <v>7</v>
      </c>
      <c r="B17" s="456" t="s">
        <v>395</v>
      </c>
      <c r="C17" s="456" t="s">
        <v>787</v>
      </c>
      <c r="D17" s="476" t="s">
        <v>332</v>
      </c>
      <c r="E17" s="457">
        <v>225</v>
      </c>
      <c r="F17" s="457">
        <v>271</v>
      </c>
      <c r="G17" s="457">
        <v>271</v>
      </c>
      <c r="H17" s="457">
        <v>271</v>
      </c>
    </row>
    <row r="18" spans="1:8" ht="24.75" customHeight="1" x14ac:dyDescent="0.25">
      <c r="A18" s="454">
        <v>8</v>
      </c>
      <c r="B18" s="461" t="s">
        <v>788</v>
      </c>
      <c r="C18" s="462" t="s">
        <v>789</v>
      </c>
      <c r="D18" s="477" t="s">
        <v>332</v>
      </c>
      <c r="E18" s="463">
        <v>233</v>
      </c>
      <c r="F18" s="463">
        <v>236</v>
      </c>
      <c r="G18" s="463">
        <v>236</v>
      </c>
      <c r="H18" s="463">
        <v>236</v>
      </c>
    </row>
    <row r="19" spans="1:8" ht="20.25" customHeight="1" x14ac:dyDescent="0.25">
      <c r="A19" s="454">
        <v>9</v>
      </c>
      <c r="B19" s="461" t="s">
        <v>401</v>
      </c>
      <c r="C19" s="462" t="s">
        <v>790</v>
      </c>
      <c r="D19" s="477" t="s">
        <v>332</v>
      </c>
      <c r="E19" s="463">
        <v>250</v>
      </c>
      <c r="F19" s="463">
        <v>200</v>
      </c>
      <c r="G19" s="463">
        <v>200</v>
      </c>
      <c r="H19" s="463">
        <v>200</v>
      </c>
    </row>
    <row r="20" spans="1:8" ht="27.75" customHeight="1" x14ac:dyDescent="0.25">
      <c r="A20" s="454">
        <v>10</v>
      </c>
      <c r="B20" s="461" t="s">
        <v>412</v>
      </c>
      <c r="C20" s="462" t="s">
        <v>791</v>
      </c>
      <c r="D20" s="477" t="s">
        <v>332</v>
      </c>
      <c r="E20" s="463">
        <v>1800</v>
      </c>
      <c r="F20" s="463">
        <v>1800</v>
      </c>
      <c r="G20" s="463">
        <v>1800</v>
      </c>
      <c r="H20" s="463">
        <v>1800</v>
      </c>
    </row>
    <row r="21" spans="1:8" ht="28.5" customHeight="1" x14ac:dyDescent="0.25">
      <c r="A21" s="454">
        <v>11</v>
      </c>
      <c r="B21" s="461" t="s">
        <v>414</v>
      </c>
      <c r="C21" s="462" t="s">
        <v>792</v>
      </c>
      <c r="D21" s="477" t="s">
        <v>332</v>
      </c>
      <c r="E21" s="463">
        <v>2000</v>
      </c>
      <c r="F21" s="463">
        <v>2000</v>
      </c>
      <c r="G21" s="463">
        <v>2000</v>
      </c>
      <c r="H21" s="463">
        <v>2000</v>
      </c>
    </row>
    <row r="22" spans="1:8" ht="48" customHeight="1" x14ac:dyDescent="0.2">
      <c r="A22" s="478">
        <v>12</v>
      </c>
      <c r="B22" s="464" t="s">
        <v>793</v>
      </c>
      <c r="C22" s="479" t="s">
        <v>794</v>
      </c>
      <c r="D22" s="480" t="s">
        <v>332</v>
      </c>
      <c r="E22" s="481"/>
      <c r="F22" s="481">
        <v>97</v>
      </c>
      <c r="G22" s="481">
        <v>97</v>
      </c>
      <c r="H22" s="481">
        <v>97</v>
      </c>
    </row>
    <row r="23" spans="1:8" ht="30" customHeight="1" x14ac:dyDescent="0.25">
      <c r="A23" s="454">
        <v>13</v>
      </c>
      <c r="B23" s="461" t="s">
        <v>795</v>
      </c>
      <c r="C23" s="462" t="s">
        <v>796</v>
      </c>
      <c r="D23" s="477">
        <v>43465</v>
      </c>
      <c r="E23" s="463"/>
      <c r="F23" s="463">
        <v>991</v>
      </c>
      <c r="G23" s="463">
        <v>991</v>
      </c>
      <c r="H23" s="463">
        <v>991</v>
      </c>
    </row>
    <row r="24" spans="1:8" ht="33" customHeight="1" x14ac:dyDescent="0.25">
      <c r="A24" s="454">
        <v>14</v>
      </c>
      <c r="B24" s="461" t="s">
        <v>797</v>
      </c>
      <c r="C24" s="462" t="s">
        <v>798</v>
      </c>
      <c r="D24" s="477" t="s">
        <v>332</v>
      </c>
      <c r="E24" s="463"/>
      <c r="F24" s="463">
        <v>515</v>
      </c>
      <c r="G24" s="463">
        <v>515</v>
      </c>
      <c r="H24" s="463">
        <v>515</v>
      </c>
    </row>
    <row r="25" spans="1:8" ht="15" x14ac:dyDescent="0.25">
      <c r="A25" s="454">
        <v>17</v>
      </c>
      <c r="B25" s="466" t="s">
        <v>799</v>
      </c>
      <c r="C25" s="466" t="s">
        <v>800</v>
      </c>
      <c r="D25" s="482">
        <v>43009</v>
      </c>
      <c r="E25" s="467"/>
      <c r="F25" s="468">
        <v>3500</v>
      </c>
      <c r="G25" s="468">
        <v>3500</v>
      </c>
      <c r="H25" s="468">
        <v>3500</v>
      </c>
    </row>
    <row r="26" spans="1:8" ht="15" x14ac:dyDescent="0.25">
      <c r="A26" s="454">
        <v>22</v>
      </c>
      <c r="B26" s="466" t="s">
        <v>801</v>
      </c>
      <c r="C26" s="466" t="s">
        <v>802</v>
      </c>
      <c r="D26" s="482" t="s">
        <v>332</v>
      </c>
      <c r="E26" s="469"/>
      <c r="F26" s="468">
        <v>248</v>
      </c>
      <c r="G26" s="468">
        <v>248</v>
      </c>
      <c r="H26" s="468">
        <v>248</v>
      </c>
    </row>
    <row r="27" spans="1:8" ht="15.75" x14ac:dyDescent="0.25">
      <c r="A27" s="454">
        <v>23</v>
      </c>
      <c r="B27" s="466" t="s">
        <v>803</v>
      </c>
      <c r="C27" s="466" t="s">
        <v>804</v>
      </c>
      <c r="D27" s="471" t="s">
        <v>332</v>
      </c>
      <c r="E27" s="470"/>
      <c r="F27" s="468">
        <v>168</v>
      </c>
      <c r="G27" s="468">
        <v>168</v>
      </c>
      <c r="H27" s="468">
        <v>168</v>
      </c>
    </row>
    <row r="28" spans="1:8" ht="15.75" x14ac:dyDescent="0.25">
      <c r="A28" s="483">
        <v>24</v>
      </c>
      <c r="B28" s="466" t="s">
        <v>805</v>
      </c>
      <c r="C28" s="466" t="s">
        <v>806</v>
      </c>
      <c r="D28" s="471" t="s">
        <v>332</v>
      </c>
      <c r="E28" s="470"/>
      <c r="F28" s="468">
        <v>76</v>
      </c>
      <c r="G28" s="468">
        <v>76</v>
      </c>
      <c r="H28" s="468">
        <v>76</v>
      </c>
    </row>
    <row r="29" spans="1:8" ht="15.75" x14ac:dyDescent="0.25">
      <c r="A29" s="454">
        <v>25</v>
      </c>
      <c r="B29" s="470"/>
      <c r="C29" s="466" t="s">
        <v>807</v>
      </c>
      <c r="D29" s="471" t="s">
        <v>332</v>
      </c>
      <c r="E29" s="470"/>
      <c r="F29" s="465">
        <v>127</v>
      </c>
      <c r="G29" s="465">
        <v>127</v>
      </c>
      <c r="H29" s="465">
        <v>127</v>
      </c>
    </row>
    <row r="30" spans="1:8" ht="15" x14ac:dyDescent="0.25">
      <c r="A30" s="454">
        <v>26</v>
      </c>
      <c r="B30" s="466" t="s">
        <v>808</v>
      </c>
      <c r="C30" s="466" t="s">
        <v>809</v>
      </c>
      <c r="D30" s="482">
        <v>42855</v>
      </c>
      <c r="E30" s="469"/>
      <c r="F30" s="468">
        <v>1531</v>
      </c>
      <c r="G30" s="468">
        <v>1531</v>
      </c>
      <c r="H30" s="468">
        <v>1531</v>
      </c>
    </row>
    <row r="31" spans="1:8" ht="15" x14ac:dyDescent="0.25">
      <c r="A31" s="454">
        <v>27</v>
      </c>
      <c r="B31" s="466" t="s">
        <v>765</v>
      </c>
      <c r="C31" s="466" t="s">
        <v>810</v>
      </c>
      <c r="D31" s="482">
        <v>42855</v>
      </c>
      <c r="E31" s="469"/>
      <c r="F31" s="468">
        <v>3446</v>
      </c>
      <c r="G31" s="468">
        <v>3446</v>
      </c>
      <c r="H31" s="468">
        <v>3446</v>
      </c>
    </row>
    <row r="32" spans="1:8" ht="15" x14ac:dyDescent="0.25">
      <c r="A32" s="454">
        <v>28</v>
      </c>
      <c r="B32" s="466" t="s">
        <v>763</v>
      </c>
      <c r="C32" s="466" t="s">
        <v>811</v>
      </c>
      <c r="D32" s="482">
        <v>42825</v>
      </c>
      <c r="E32" s="469"/>
      <c r="F32" s="468">
        <v>1727</v>
      </c>
      <c r="G32" s="468">
        <v>1727</v>
      </c>
      <c r="H32" s="468">
        <v>1727</v>
      </c>
    </row>
    <row r="33" spans="1:8" ht="15" x14ac:dyDescent="0.25">
      <c r="A33" s="454">
        <v>29</v>
      </c>
      <c r="B33" s="466" t="s">
        <v>812</v>
      </c>
      <c r="C33" s="466" t="s">
        <v>813</v>
      </c>
      <c r="D33" s="482">
        <v>42916</v>
      </c>
      <c r="E33" s="467"/>
      <c r="F33" s="468">
        <v>1270</v>
      </c>
      <c r="G33" s="468">
        <v>1270</v>
      </c>
      <c r="H33" s="468">
        <v>1270</v>
      </c>
    </row>
    <row r="34" spans="1:8" ht="15" x14ac:dyDescent="0.25">
      <c r="A34" s="454">
        <v>30</v>
      </c>
      <c r="B34" s="466"/>
      <c r="C34" s="466" t="s">
        <v>814</v>
      </c>
      <c r="D34" s="482" t="s">
        <v>332</v>
      </c>
      <c r="E34" s="467"/>
      <c r="F34" s="468">
        <v>355</v>
      </c>
      <c r="G34" s="468">
        <v>355</v>
      </c>
      <c r="H34" s="468">
        <v>355</v>
      </c>
    </row>
    <row r="35" spans="1:8" ht="15" x14ac:dyDescent="0.25">
      <c r="A35" s="454">
        <v>31</v>
      </c>
      <c r="B35" s="466"/>
      <c r="C35" s="466" t="s">
        <v>815</v>
      </c>
      <c r="D35" s="482" t="s">
        <v>332</v>
      </c>
      <c r="E35" s="467"/>
      <c r="F35" s="468">
        <v>321</v>
      </c>
      <c r="G35" s="468">
        <v>321</v>
      </c>
      <c r="H35" s="468">
        <v>321</v>
      </c>
    </row>
    <row r="36" spans="1:8" ht="15" x14ac:dyDescent="0.25">
      <c r="A36" s="454">
        <v>32</v>
      </c>
      <c r="B36" s="466"/>
      <c r="C36" s="466" t="s">
        <v>816</v>
      </c>
      <c r="D36" s="482" t="s">
        <v>332</v>
      </c>
      <c r="E36" s="467"/>
      <c r="F36" s="468">
        <v>458</v>
      </c>
      <c r="G36" s="468">
        <v>458</v>
      </c>
      <c r="H36" s="468">
        <v>458</v>
      </c>
    </row>
    <row r="37" spans="1:8" ht="15" x14ac:dyDescent="0.25">
      <c r="A37" s="454">
        <v>33</v>
      </c>
      <c r="B37" s="466" t="s">
        <v>891</v>
      </c>
      <c r="C37" s="466" t="s">
        <v>892</v>
      </c>
      <c r="D37" s="482" t="s">
        <v>332</v>
      </c>
      <c r="E37" s="467"/>
      <c r="F37" s="468">
        <v>131</v>
      </c>
      <c r="G37" s="468">
        <v>131</v>
      </c>
      <c r="H37" s="468">
        <v>131</v>
      </c>
    </row>
    <row r="38" spans="1:8" ht="30" x14ac:dyDescent="0.25">
      <c r="A38" s="454">
        <v>34</v>
      </c>
      <c r="B38" s="466" t="s">
        <v>893</v>
      </c>
      <c r="C38" s="534" t="s">
        <v>894</v>
      </c>
      <c r="D38" s="482" t="s">
        <v>332</v>
      </c>
      <c r="E38" s="467"/>
      <c r="F38" s="468">
        <v>686</v>
      </c>
      <c r="G38" s="468">
        <v>686</v>
      </c>
      <c r="H38" s="468">
        <v>686</v>
      </c>
    </row>
    <row r="39" spans="1:8" ht="15" x14ac:dyDescent="0.25">
      <c r="A39" s="454"/>
      <c r="B39" s="466"/>
      <c r="C39" s="534" t="s">
        <v>895</v>
      </c>
      <c r="D39" s="482" t="s">
        <v>332</v>
      </c>
      <c r="E39" s="467"/>
      <c r="F39" s="468">
        <v>550</v>
      </c>
      <c r="G39" s="468">
        <v>550</v>
      </c>
      <c r="H39" s="468">
        <v>550</v>
      </c>
    </row>
    <row r="40" spans="1:8" ht="15" x14ac:dyDescent="0.25">
      <c r="A40" s="454"/>
      <c r="B40" s="466"/>
      <c r="C40" s="534" t="s">
        <v>890</v>
      </c>
      <c r="D40" s="482" t="s">
        <v>332</v>
      </c>
      <c r="E40" s="467"/>
      <c r="F40" s="468">
        <v>4000</v>
      </c>
      <c r="G40" s="468">
        <v>4000</v>
      </c>
      <c r="H40" s="468">
        <v>4000</v>
      </c>
    </row>
    <row r="41" spans="1:8" ht="15.75" x14ac:dyDescent="0.25">
      <c r="E41" s="484">
        <v>5934</v>
      </c>
      <c r="F41" s="484">
        <f>SUM(F11:F40)</f>
        <v>27136</v>
      </c>
      <c r="G41" s="484">
        <f>SUM(G11:G40)</f>
        <v>27136</v>
      </c>
      <c r="H41" s="48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50"/>
  <sheetViews>
    <sheetView topLeftCell="A4" zoomScale="120" workbookViewId="0">
      <selection activeCell="F7" sqref="F7:J8"/>
    </sheetView>
  </sheetViews>
  <sheetFormatPr defaultColWidth="9.140625" defaultRowHeight="11.25" x14ac:dyDescent="0.2"/>
  <cols>
    <col min="1" max="1" width="4.85546875" style="118" customWidth="1"/>
    <col min="2" max="2" width="42.85546875" style="118" customWidth="1"/>
    <col min="3" max="3" width="11" style="119" customWidth="1"/>
    <col min="4" max="4" width="11.42578125" style="119" customWidth="1"/>
    <col min="5" max="10" width="12" style="119" customWidth="1"/>
    <col min="11" max="11" width="41.7109375" style="119" customWidth="1"/>
    <col min="12" max="12" width="11.140625" style="119" customWidth="1"/>
    <col min="13" max="13" width="12.85546875" style="119" customWidth="1"/>
    <col min="14" max="14" width="16" style="119" customWidth="1"/>
    <col min="15" max="27" width="9.140625" style="118"/>
    <col min="28" max="16384" width="9.140625" style="10"/>
  </cols>
  <sheetData>
    <row r="1" spans="1:27" ht="12.75" customHeight="1" x14ac:dyDescent="0.2">
      <c r="A1" s="1398" t="s">
        <v>1350</v>
      </c>
      <c r="B1" s="1398"/>
      <c r="C1" s="1398"/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</row>
    <row r="2" spans="1:27" x14ac:dyDescent="0.2">
      <c r="B2" s="415"/>
      <c r="N2" s="120"/>
    </row>
    <row r="3" spans="1:27" s="99" customFormat="1" x14ac:dyDescent="0.2">
      <c r="A3" s="121"/>
      <c r="B3" s="1406" t="s">
        <v>54</v>
      </c>
      <c r="C3" s="1406"/>
      <c r="D3" s="1406"/>
      <c r="E3" s="1406"/>
      <c r="F3" s="1406"/>
      <c r="G3" s="1406"/>
      <c r="H3" s="1406"/>
      <c r="I3" s="1406"/>
      <c r="J3" s="1406"/>
      <c r="K3" s="1406"/>
      <c r="L3" s="1406"/>
      <c r="M3" s="1406"/>
      <c r="N3" s="1406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</row>
    <row r="4" spans="1:27" s="99" customFormat="1" x14ac:dyDescent="0.2">
      <c r="A4" s="121"/>
      <c r="B4" s="1406" t="s">
        <v>1148</v>
      </c>
      <c r="C4" s="1406"/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</row>
    <row r="5" spans="1:27" s="99" customFormat="1" ht="12.75" customHeight="1" x14ac:dyDescent="0.2">
      <c r="A5" s="1424" t="s">
        <v>304</v>
      </c>
      <c r="B5" s="1424"/>
      <c r="C5" s="1424"/>
      <c r="D5" s="1424"/>
      <c r="E5" s="1424"/>
      <c r="F5" s="1424"/>
      <c r="G5" s="1424"/>
      <c r="H5" s="1424"/>
      <c r="I5" s="1424"/>
      <c r="J5" s="1424"/>
      <c r="K5" s="1424"/>
      <c r="L5" s="1424"/>
      <c r="M5" s="1424"/>
      <c r="N5" s="1424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</row>
    <row r="6" spans="1:27" s="99" customFormat="1" ht="12.75" customHeight="1" x14ac:dyDescent="0.2">
      <c r="A6" s="1425" t="s">
        <v>56</v>
      </c>
      <c r="B6" s="1427" t="s">
        <v>57</v>
      </c>
      <c r="C6" s="1419" t="s">
        <v>58</v>
      </c>
      <c r="D6" s="1419"/>
      <c r="E6" s="1420"/>
      <c r="F6" s="776"/>
      <c r="G6" s="776"/>
      <c r="H6" s="776"/>
      <c r="I6" s="776"/>
      <c r="J6" s="776"/>
      <c r="K6" s="1" t="s">
        <v>59</v>
      </c>
      <c r="L6" s="1421" t="s">
        <v>60</v>
      </c>
      <c r="M6" s="1421"/>
      <c r="N6" s="1421"/>
      <c r="O6" s="121"/>
      <c r="P6" s="121"/>
      <c r="Q6" s="121"/>
      <c r="R6" s="121"/>
      <c r="S6" s="121"/>
      <c r="T6" s="121"/>
      <c r="U6" s="121"/>
    </row>
    <row r="7" spans="1:27" s="99" customFormat="1" ht="12.75" customHeight="1" x14ac:dyDescent="0.2">
      <c r="A7" s="1426"/>
      <c r="B7" s="1427"/>
      <c r="C7" s="1422" t="s">
        <v>1137</v>
      </c>
      <c r="D7" s="1422"/>
      <c r="E7" s="1423"/>
      <c r="F7" s="1403" t="s">
        <v>1400</v>
      </c>
      <c r="G7" s="1403"/>
      <c r="H7" s="1403" t="s">
        <v>1399</v>
      </c>
      <c r="I7" s="1403"/>
      <c r="J7" s="1403"/>
      <c r="K7" s="2"/>
      <c r="L7" s="1422" t="s">
        <v>1137</v>
      </c>
      <c r="M7" s="1422"/>
      <c r="N7" s="1422"/>
      <c r="O7" s="1403" t="s">
        <v>1400</v>
      </c>
      <c r="P7" s="1403"/>
      <c r="Q7" s="1403" t="s">
        <v>1399</v>
      </c>
      <c r="R7" s="1403"/>
      <c r="S7" s="1403"/>
    </row>
    <row r="8" spans="1:27" s="100" customFormat="1" ht="36.6" customHeight="1" x14ac:dyDescent="0.2">
      <c r="A8" s="1426"/>
      <c r="B8" s="779" t="s">
        <v>61</v>
      </c>
      <c r="C8" s="780" t="s">
        <v>62</v>
      </c>
      <c r="D8" s="780" t="s">
        <v>63</v>
      </c>
      <c r="E8" s="781" t="s">
        <v>64</v>
      </c>
      <c r="F8" s="782" t="s">
        <v>62</v>
      </c>
      <c r="G8" s="782" t="s">
        <v>63</v>
      </c>
      <c r="H8" s="782" t="s">
        <v>62</v>
      </c>
      <c r="I8" s="782" t="s">
        <v>63</v>
      </c>
      <c r="J8" s="783" t="s">
        <v>64</v>
      </c>
      <c r="K8" s="777" t="s">
        <v>65</v>
      </c>
      <c r="L8" s="780" t="s">
        <v>62</v>
      </c>
      <c r="M8" s="780" t="s">
        <v>63</v>
      </c>
      <c r="N8" s="780" t="s">
        <v>64</v>
      </c>
      <c r="O8" s="782" t="s">
        <v>62</v>
      </c>
      <c r="P8" s="782" t="s">
        <v>63</v>
      </c>
      <c r="Q8" s="782" t="s">
        <v>62</v>
      </c>
      <c r="R8" s="782" t="s">
        <v>63</v>
      </c>
      <c r="S8" s="783" t="s">
        <v>64</v>
      </c>
    </row>
    <row r="9" spans="1:27" ht="11.45" customHeight="1" x14ac:dyDescent="0.2">
      <c r="A9" s="784">
        <v>1</v>
      </c>
      <c r="B9" s="785" t="s">
        <v>24</v>
      </c>
      <c r="C9" s="786"/>
      <c r="D9" s="786"/>
      <c r="E9" s="786"/>
      <c r="F9" s="786"/>
      <c r="G9" s="786"/>
      <c r="H9" s="786"/>
      <c r="I9" s="786"/>
      <c r="J9" s="786"/>
      <c r="K9" s="787" t="s">
        <v>25</v>
      </c>
      <c r="L9" s="786"/>
      <c r="M9" s="786"/>
      <c r="N9" s="788"/>
      <c r="O9" s="789"/>
      <c r="P9" s="789"/>
      <c r="Q9" s="789"/>
      <c r="R9" s="789"/>
      <c r="S9" s="790"/>
      <c r="T9" s="10"/>
      <c r="U9" s="10"/>
      <c r="V9" s="10"/>
      <c r="W9" s="10"/>
      <c r="X9" s="10"/>
      <c r="Y9" s="10"/>
      <c r="Z9" s="10"/>
      <c r="AA9" s="10"/>
    </row>
    <row r="10" spans="1:27" x14ac:dyDescent="0.2">
      <c r="A10" s="784">
        <f t="shared" ref="A10:A45" si="0">A9+1</f>
        <v>2</v>
      </c>
      <c r="B10" s="791"/>
      <c r="C10" s="795"/>
      <c r="D10" s="795"/>
      <c r="E10" s="795"/>
      <c r="F10" s="795"/>
      <c r="G10" s="795"/>
      <c r="H10" s="795"/>
      <c r="I10" s="795"/>
      <c r="J10" s="795"/>
      <c r="K10" s="795"/>
      <c r="L10" s="795"/>
      <c r="M10" s="795"/>
      <c r="N10" s="844"/>
      <c r="O10" s="789"/>
      <c r="P10" s="789"/>
      <c r="Q10" s="789"/>
      <c r="R10" s="789"/>
      <c r="S10" s="790"/>
      <c r="T10" s="10"/>
      <c r="U10" s="10"/>
      <c r="V10" s="10"/>
      <c r="W10" s="10"/>
      <c r="X10" s="10"/>
      <c r="Y10" s="10"/>
      <c r="Z10" s="10"/>
      <c r="AA10" s="10"/>
    </row>
    <row r="11" spans="1:27" x14ac:dyDescent="0.2">
      <c r="A11" s="784">
        <f t="shared" si="0"/>
        <v>3</v>
      </c>
      <c r="B11" s="791" t="s">
        <v>38</v>
      </c>
      <c r="C11" s="795">
        <f>Össz.önkor.mérleg.!D14</f>
        <v>0</v>
      </c>
      <c r="D11" s="795">
        <f>Össz.önkor.mérleg.!E14</f>
        <v>0</v>
      </c>
      <c r="E11" s="795">
        <f>Össz.önkor.mérleg.!F14</f>
        <v>0</v>
      </c>
      <c r="F11" s="795"/>
      <c r="G11" s="795"/>
      <c r="H11" s="795"/>
      <c r="I11" s="795"/>
      <c r="J11" s="795"/>
      <c r="K11" s="787" t="s">
        <v>34</v>
      </c>
      <c r="L11" s="786"/>
      <c r="M11" s="786"/>
      <c r="N11" s="788"/>
      <c r="O11" s="789"/>
      <c r="P11" s="789"/>
      <c r="Q11" s="789"/>
      <c r="R11" s="789"/>
      <c r="S11" s="79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784">
        <f t="shared" si="0"/>
        <v>4</v>
      </c>
      <c r="B12" s="791" t="s">
        <v>1115</v>
      </c>
      <c r="C12" s="795">
        <f>Össz.önkor.mérleg.!D15</f>
        <v>0</v>
      </c>
      <c r="D12" s="795">
        <f>Össz.önkor.mérleg.!E15</f>
        <v>0</v>
      </c>
      <c r="E12" s="795">
        <f>Össz.önkor.mérleg.!F15</f>
        <v>0</v>
      </c>
      <c r="F12" s="795"/>
      <c r="G12" s="795"/>
      <c r="H12" s="795"/>
      <c r="I12" s="795"/>
      <c r="J12" s="795"/>
      <c r="K12" s="787"/>
      <c r="L12" s="786"/>
      <c r="M12" s="786"/>
      <c r="N12" s="788"/>
      <c r="O12" s="789"/>
      <c r="P12" s="789"/>
      <c r="Q12" s="789"/>
      <c r="R12" s="789"/>
      <c r="S12" s="79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784">
        <f t="shared" si="0"/>
        <v>5</v>
      </c>
      <c r="B13" s="794" t="s">
        <v>1116</v>
      </c>
      <c r="C13" s="795">
        <f>Össz.önkor.mérleg.!D16</f>
        <v>621278</v>
      </c>
      <c r="D13" s="795">
        <f>Össz.önkor.mérleg.!E16</f>
        <v>14540</v>
      </c>
      <c r="E13" s="795">
        <f>Össz.önkor.mérleg.!F16</f>
        <v>635818</v>
      </c>
      <c r="F13" s="795"/>
      <c r="G13" s="795"/>
      <c r="H13" s="795"/>
      <c r="I13" s="795"/>
      <c r="J13" s="795"/>
      <c r="K13" s="787"/>
      <c r="L13" s="786"/>
      <c r="M13" s="786"/>
      <c r="N13" s="788"/>
      <c r="O13" s="789"/>
      <c r="P13" s="789"/>
      <c r="Q13" s="789"/>
      <c r="R13" s="789"/>
      <c r="S13" s="79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784">
        <f t="shared" si="0"/>
        <v>6</v>
      </c>
      <c r="B14" s="789" t="s">
        <v>633</v>
      </c>
      <c r="C14" s="795"/>
      <c r="D14" s="844"/>
      <c r="E14" s="844"/>
      <c r="F14" s="844"/>
      <c r="G14" s="844"/>
      <c r="H14" s="844"/>
      <c r="I14" s="844"/>
      <c r="J14" s="844"/>
      <c r="K14" s="795" t="s">
        <v>628</v>
      </c>
      <c r="L14" s="788">
        <f>Össz.önkor.mérleg.!M27</f>
        <v>1706151</v>
      </c>
      <c r="M14" s="788">
        <f>Össz.önkor.mérleg.!N27</f>
        <v>202065</v>
      </c>
      <c r="N14" s="788">
        <f>Össz.önkor.mérleg.!O27</f>
        <v>1908216</v>
      </c>
      <c r="O14" s="789"/>
      <c r="P14" s="789"/>
      <c r="Q14" s="789"/>
      <c r="R14" s="789"/>
      <c r="S14" s="790"/>
      <c r="T14" s="10"/>
      <c r="U14" s="10"/>
      <c r="V14" s="10"/>
      <c r="W14" s="10"/>
      <c r="X14" s="10"/>
      <c r="Y14" s="10"/>
      <c r="Z14" s="10"/>
      <c r="AA14" s="10"/>
    </row>
    <row r="15" spans="1:27" ht="12" customHeight="1" x14ac:dyDescent="0.2">
      <c r="A15" s="784">
        <f t="shared" si="0"/>
        <v>7</v>
      </c>
      <c r="B15" s="789" t="s">
        <v>43</v>
      </c>
      <c r="C15" s="795"/>
      <c r="D15" s="844"/>
      <c r="E15" s="844"/>
      <c r="F15" s="844"/>
      <c r="G15" s="844"/>
      <c r="H15" s="844"/>
      <c r="I15" s="844"/>
      <c r="J15" s="844"/>
      <c r="K15" s="795" t="s">
        <v>31</v>
      </c>
      <c r="L15" s="788">
        <f>Össz.önkor.mérleg.!M28</f>
        <v>49715</v>
      </c>
      <c r="M15" s="788">
        <f>Össz.önkor.mérleg.!N28</f>
        <v>0</v>
      </c>
      <c r="N15" s="788">
        <f>SUM(L15:M15)</f>
        <v>49715</v>
      </c>
      <c r="O15" s="789"/>
      <c r="P15" s="789"/>
      <c r="Q15" s="789"/>
      <c r="R15" s="789"/>
      <c r="S15" s="790"/>
      <c r="T15" s="10"/>
      <c r="U15" s="10"/>
      <c r="V15" s="10"/>
      <c r="W15" s="10"/>
      <c r="X15" s="10"/>
      <c r="Y15" s="10"/>
      <c r="Z15" s="10"/>
      <c r="AA15" s="10"/>
    </row>
    <row r="16" spans="1:27" x14ac:dyDescent="0.2">
      <c r="A16" s="784">
        <f t="shared" si="0"/>
        <v>8</v>
      </c>
      <c r="B16" s="791" t="s">
        <v>44</v>
      </c>
      <c r="C16" s="845">
        <f>Össz.önkor.mérleg.!D24</f>
        <v>19447</v>
      </c>
      <c r="D16" s="845">
        <f>Össz.önkor.mérleg.!E24</f>
        <v>29300</v>
      </c>
      <c r="E16" s="795">
        <f>Össz.önkor.mérleg.!F24</f>
        <v>48747</v>
      </c>
      <c r="F16" s="795"/>
      <c r="G16" s="795"/>
      <c r="H16" s="795"/>
      <c r="I16" s="795"/>
      <c r="J16" s="795"/>
      <c r="K16" s="795" t="s">
        <v>32</v>
      </c>
      <c r="L16" s="788"/>
      <c r="M16" s="788"/>
      <c r="N16" s="788"/>
      <c r="O16" s="789"/>
      <c r="P16" s="789"/>
      <c r="Q16" s="789"/>
      <c r="R16" s="789"/>
      <c r="S16" s="790"/>
      <c r="T16" s="10"/>
      <c r="U16" s="10"/>
      <c r="V16" s="10"/>
      <c r="W16" s="10"/>
      <c r="X16" s="10"/>
      <c r="Y16" s="10"/>
      <c r="Z16" s="10"/>
      <c r="AA16" s="10"/>
    </row>
    <row r="17" spans="1:27" x14ac:dyDescent="0.2">
      <c r="A17" s="784">
        <f t="shared" si="0"/>
        <v>9</v>
      </c>
      <c r="B17" s="791" t="s">
        <v>45</v>
      </c>
      <c r="C17" s="795">
        <f>Össz.önkor.mérleg.!D25</f>
        <v>0</v>
      </c>
      <c r="D17" s="795">
        <f>Össz.önkor.mérleg.!E25</f>
        <v>1309</v>
      </c>
      <c r="E17" s="795">
        <f>Össz.önkor.mérleg.!F25</f>
        <v>1309</v>
      </c>
      <c r="F17" s="795"/>
      <c r="G17" s="795"/>
      <c r="H17" s="795"/>
      <c r="I17" s="795"/>
      <c r="J17" s="795"/>
      <c r="K17" s="795" t="s">
        <v>447</v>
      </c>
      <c r="L17" s="788">
        <f>Össz.önkor.mérleg.!M30</f>
        <v>12004</v>
      </c>
      <c r="M17" s="788">
        <f>Össz.önkor.mérleg.!N30</f>
        <v>78232</v>
      </c>
      <c r="N17" s="788">
        <f>SUM(L17:M17)</f>
        <v>90236</v>
      </c>
      <c r="O17" s="789"/>
      <c r="P17" s="789"/>
      <c r="Q17" s="789"/>
      <c r="R17" s="789"/>
      <c r="S17" s="790"/>
      <c r="T17" s="10"/>
      <c r="U17" s="10"/>
      <c r="V17" s="10"/>
      <c r="W17" s="10"/>
      <c r="X17" s="10"/>
      <c r="Y17" s="10"/>
      <c r="Z17" s="10"/>
      <c r="AA17" s="10"/>
    </row>
    <row r="18" spans="1:27" x14ac:dyDescent="0.2">
      <c r="A18" s="784">
        <f t="shared" si="0"/>
        <v>10</v>
      </c>
      <c r="B18" s="791"/>
      <c r="C18" s="795"/>
      <c r="D18" s="795"/>
      <c r="E18" s="795"/>
      <c r="F18" s="795"/>
      <c r="G18" s="795"/>
      <c r="H18" s="795"/>
      <c r="I18" s="795"/>
      <c r="J18" s="795"/>
      <c r="K18" s="795" t="s">
        <v>1131</v>
      </c>
      <c r="L18" s="788">
        <f>Össz.önkor.mérleg.!M31</f>
        <v>0</v>
      </c>
      <c r="M18" s="788">
        <f>Össz.önkor.mérleg.!N31</f>
        <v>5000</v>
      </c>
      <c r="N18" s="788">
        <f>Össz.önkor.mérleg.!O31</f>
        <v>5000</v>
      </c>
      <c r="O18" s="789"/>
      <c r="P18" s="789"/>
      <c r="Q18" s="789"/>
      <c r="R18" s="789"/>
      <c r="S18" s="790"/>
      <c r="T18" s="10"/>
      <c r="U18" s="10"/>
      <c r="V18" s="10"/>
      <c r="W18" s="10"/>
      <c r="X18" s="10"/>
      <c r="Y18" s="10"/>
      <c r="Z18" s="10"/>
      <c r="AA18" s="10"/>
    </row>
    <row r="19" spans="1:27" x14ac:dyDescent="0.2">
      <c r="A19" s="784">
        <f t="shared" si="0"/>
        <v>11</v>
      </c>
      <c r="B19" s="791" t="s">
        <v>46</v>
      </c>
      <c r="C19" s="795">
        <f>Össz.önkor.mérleg.!D21</f>
        <v>0</v>
      </c>
      <c r="D19" s="795">
        <f>Össz.önkor.mérleg.!E26</f>
        <v>153924</v>
      </c>
      <c r="E19" s="795">
        <f>Össz.önkor.mérleg.!F26</f>
        <v>153924</v>
      </c>
      <c r="F19" s="795"/>
      <c r="G19" s="795"/>
      <c r="H19" s="795"/>
      <c r="I19" s="795"/>
      <c r="J19" s="795"/>
      <c r="K19" s="795" t="s">
        <v>1132</v>
      </c>
      <c r="L19" s="788">
        <f>Össz.önkor.mérleg.!M32</f>
        <v>53844</v>
      </c>
      <c r="M19" s="788">
        <f>Össz.önkor.mérleg.!N32</f>
        <v>4350</v>
      </c>
      <c r="N19" s="788">
        <f>Össz.önkor.mérleg.!O32</f>
        <v>58194</v>
      </c>
      <c r="O19" s="789"/>
      <c r="P19" s="789"/>
      <c r="Q19" s="789"/>
      <c r="R19" s="789"/>
      <c r="S19" s="790"/>
      <c r="T19" s="10"/>
      <c r="U19" s="10"/>
      <c r="V19" s="10"/>
      <c r="W19" s="10"/>
      <c r="X19" s="10"/>
      <c r="Y19" s="10"/>
      <c r="Z19" s="10"/>
      <c r="AA19" s="10"/>
    </row>
    <row r="20" spans="1:27" x14ac:dyDescent="0.2">
      <c r="A20" s="784">
        <f t="shared" si="0"/>
        <v>12</v>
      </c>
      <c r="B20" s="791" t="s">
        <v>47</v>
      </c>
      <c r="C20" s="795">
        <f>Össz.önkor.mérleg.!D22</f>
        <v>0</v>
      </c>
      <c r="D20" s="795">
        <f>Össz.önkor.mérleg.!E22</f>
        <v>0</v>
      </c>
      <c r="E20" s="795">
        <f>Össz.önkor.mérleg.!F22</f>
        <v>0</v>
      </c>
      <c r="F20" s="795"/>
      <c r="G20" s="795"/>
      <c r="H20" s="795"/>
      <c r="I20" s="795"/>
      <c r="J20" s="795"/>
      <c r="K20" s="795" t="s">
        <v>1133</v>
      </c>
      <c r="L20" s="788">
        <f>Össz.önkor.mérleg.!M33</f>
        <v>34770</v>
      </c>
      <c r="M20" s="788">
        <f>Össz.önkor.mérleg.!N33</f>
        <v>135479</v>
      </c>
      <c r="N20" s="788">
        <f>Össz.önkor.mérleg.!O33</f>
        <v>170249</v>
      </c>
      <c r="O20" s="789"/>
      <c r="P20" s="789"/>
      <c r="Q20" s="789"/>
      <c r="R20" s="789"/>
      <c r="S20" s="790"/>
      <c r="T20" s="10"/>
      <c r="U20" s="10"/>
      <c r="V20" s="10"/>
      <c r="W20" s="10"/>
      <c r="X20" s="10"/>
      <c r="Y20" s="10"/>
      <c r="Z20" s="10"/>
      <c r="AA20" s="10"/>
    </row>
    <row r="21" spans="1:27" x14ac:dyDescent="0.2">
      <c r="A21" s="784">
        <f t="shared" si="0"/>
        <v>13</v>
      </c>
      <c r="B21" s="791"/>
      <c r="C21" s="795"/>
      <c r="D21" s="795"/>
      <c r="E21" s="795"/>
      <c r="F21" s="795"/>
      <c r="G21" s="795"/>
      <c r="H21" s="795"/>
      <c r="I21" s="795"/>
      <c r="J21" s="795"/>
      <c r="K21" s="845" t="s">
        <v>68</v>
      </c>
      <c r="L21" s="846">
        <f>SUM(L14:L20)</f>
        <v>1856484</v>
      </c>
      <c r="M21" s="846">
        <f>SUM(M14:M20)</f>
        <v>425126</v>
      </c>
      <c r="N21" s="846">
        <f>SUM(N14:N20)</f>
        <v>2281610</v>
      </c>
      <c r="O21" s="789"/>
      <c r="P21" s="789"/>
      <c r="Q21" s="789"/>
      <c r="R21" s="789"/>
      <c r="S21" s="79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A22" s="784">
        <f t="shared" si="0"/>
        <v>14</v>
      </c>
      <c r="B22" s="789" t="s">
        <v>634</v>
      </c>
      <c r="C22" s="795">
        <f>Össz.önkor.mérleg.!D30</f>
        <v>9900</v>
      </c>
      <c r="D22" s="795">
        <f>Össz.önkor.mérleg.!E30</f>
        <v>4131</v>
      </c>
      <c r="E22" s="795">
        <f>Össz.önkor.mérleg.!F30</f>
        <v>14031</v>
      </c>
      <c r="F22" s="795"/>
      <c r="G22" s="795"/>
      <c r="H22" s="795"/>
      <c r="I22" s="795"/>
      <c r="J22" s="795"/>
      <c r="K22" s="795"/>
      <c r="L22" s="788"/>
      <c r="M22" s="788"/>
      <c r="N22" s="844"/>
      <c r="O22" s="789"/>
      <c r="P22" s="789"/>
      <c r="Q22" s="789"/>
      <c r="R22" s="789"/>
      <c r="S22" s="790"/>
      <c r="T22" s="10"/>
      <c r="U22" s="10"/>
      <c r="V22" s="10"/>
      <c r="W22" s="10"/>
      <c r="X22" s="10"/>
      <c r="Y22" s="10"/>
      <c r="Z22" s="10"/>
      <c r="AA22" s="10"/>
    </row>
    <row r="23" spans="1:27" s="101" customFormat="1" x14ac:dyDescent="0.2">
      <c r="A23" s="784">
        <f t="shared" si="0"/>
        <v>15</v>
      </c>
      <c r="B23" s="789"/>
      <c r="C23" s="795"/>
      <c r="D23" s="795"/>
      <c r="E23" s="795"/>
      <c r="F23" s="795"/>
      <c r="G23" s="795"/>
      <c r="H23" s="795"/>
      <c r="I23" s="795"/>
      <c r="J23" s="795"/>
      <c r="K23" s="788"/>
      <c r="L23" s="788"/>
      <c r="M23" s="788"/>
      <c r="N23" s="788"/>
      <c r="O23" s="796"/>
      <c r="P23" s="796"/>
      <c r="Q23" s="796"/>
      <c r="R23" s="796"/>
      <c r="S23" s="797"/>
    </row>
    <row r="24" spans="1:27" s="101" customFormat="1" x14ac:dyDescent="0.2">
      <c r="A24" s="784">
        <f t="shared" si="0"/>
        <v>16</v>
      </c>
      <c r="B24" s="801"/>
      <c r="C24" s="844"/>
      <c r="D24" s="844"/>
      <c r="E24" s="844"/>
      <c r="F24" s="844"/>
      <c r="G24" s="844"/>
      <c r="H24" s="844"/>
      <c r="I24" s="844"/>
      <c r="J24" s="844"/>
      <c r="K24" s="788"/>
      <c r="L24" s="788"/>
      <c r="M24" s="788"/>
      <c r="N24" s="788"/>
      <c r="O24" s="796"/>
      <c r="P24" s="796"/>
      <c r="Q24" s="796"/>
      <c r="R24" s="796"/>
      <c r="S24" s="797"/>
    </row>
    <row r="25" spans="1:27" x14ac:dyDescent="0.2">
      <c r="A25" s="784">
        <f t="shared" si="0"/>
        <v>17</v>
      </c>
      <c r="B25" s="847" t="s">
        <v>67</v>
      </c>
      <c r="C25" s="848">
        <f>C12+C13+C16+C17+C19+C20+C22</f>
        <v>650625</v>
      </c>
      <c r="D25" s="848">
        <f t="shared" ref="D25:E25" si="1">D12+D13+D16+D17+D19+D20+D22</f>
        <v>203204</v>
      </c>
      <c r="E25" s="848">
        <f t="shared" si="1"/>
        <v>853829</v>
      </c>
      <c r="F25" s="848"/>
      <c r="G25" s="848"/>
      <c r="H25" s="848"/>
      <c r="I25" s="848"/>
      <c r="J25" s="848"/>
      <c r="K25" s="848"/>
      <c r="L25" s="848"/>
      <c r="M25" s="848"/>
      <c r="N25" s="848"/>
      <c r="O25" s="789"/>
      <c r="P25" s="789"/>
      <c r="Q25" s="789"/>
      <c r="R25" s="789"/>
      <c r="S25" s="790"/>
      <c r="T25" s="10"/>
      <c r="U25" s="10"/>
      <c r="V25" s="10"/>
      <c r="W25" s="10"/>
      <c r="X25" s="10"/>
      <c r="Y25" s="10"/>
      <c r="Z25" s="10"/>
      <c r="AA25" s="10"/>
    </row>
    <row r="26" spans="1:27" x14ac:dyDescent="0.2">
      <c r="A26" s="784">
        <f t="shared" si="0"/>
        <v>18</v>
      </c>
      <c r="B26" s="802" t="s">
        <v>51</v>
      </c>
      <c r="C26" s="786">
        <f>SUM(C24:C25)</f>
        <v>650625</v>
      </c>
      <c r="D26" s="786">
        <f>SUM(D24:D25)</f>
        <v>203204</v>
      </c>
      <c r="E26" s="786">
        <f>SUM(E24:E25)</f>
        <v>853829</v>
      </c>
      <c r="F26" s="786"/>
      <c r="G26" s="786"/>
      <c r="H26" s="786"/>
      <c r="I26" s="786"/>
      <c r="J26" s="786"/>
      <c r="K26" s="786" t="s">
        <v>69</v>
      </c>
      <c r="L26" s="786">
        <f>L25+L21</f>
        <v>1856484</v>
      </c>
      <c r="M26" s="786">
        <f>M25+M21</f>
        <v>425126</v>
      </c>
      <c r="N26" s="786">
        <f>N25+N21</f>
        <v>2281610</v>
      </c>
      <c r="O26" s="789"/>
      <c r="P26" s="789"/>
      <c r="Q26" s="789"/>
      <c r="R26" s="789"/>
      <c r="S26" s="790"/>
      <c r="T26" s="10"/>
      <c r="U26" s="10"/>
      <c r="V26" s="10"/>
      <c r="W26" s="10"/>
      <c r="X26" s="10"/>
      <c r="Y26" s="10"/>
      <c r="Z26" s="10"/>
      <c r="AA26" s="10"/>
    </row>
    <row r="27" spans="1:27" x14ac:dyDescent="0.2">
      <c r="A27" s="784">
        <f t="shared" si="0"/>
        <v>19</v>
      </c>
      <c r="B27" s="789"/>
      <c r="C27" s="788"/>
      <c r="D27" s="788"/>
      <c r="E27" s="788"/>
      <c r="F27" s="788"/>
      <c r="G27" s="788"/>
      <c r="H27" s="788"/>
      <c r="I27" s="788"/>
      <c r="J27" s="788"/>
      <c r="K27" s="788"/>
      <c r="L27" s="788"/>
      <c r="M27" s="788"/>
      <c r="N27" s="788"/>
      <c r="O27" s="789"/>
      <c r="P27" s="789"/>
      <c r="Q27" s="789"/>
      <c r="R27" s="789"/>
      <c r="S27" s="790"/>
      <c r="T27" s="10"/>
      <c r="U27" s="10"/>
      <c r="V27" s="10"/>
      <c r="W27" s="10"/>
      <c r="X27" s="10"/>
      <c r="Y27" s="10"/>
      <c r="Z27" s="10"/>
      <c r="AA27" s="10"/>
    </row>
    <row r="28" spans="1:27" x14ac:dyDescent="0.2">
      <c r="A28" s="784">
        <f t="shared" si="0"/>
        <v>20</v>
      </c>
      <c r="B28" s="802" t="s">
        <v>635</v>
      </c>
      <c r="C28" s="786">
        <f>C26-L26</f>
        <v>-1205859</v>
      </c>
      <c r="D28" s="786">
        <f>D26-M26</f>
        <v>-221922</v>
      </c>
      <c r="E28" s="849">
        <f>E26-N26</f>
        <v>-1427781</v>
      </c>
      <c r="F28" s="849"/>
      <c r="G28" s="849"/>
      <c r="H28" s="849"/>
      <c r="I28" s="849"/>
      <c r="J28" s="849"/>
      <c r="K28" s="788"/>
      <c r="L28" s="788"/>
      <c r="M28" s="788"/>
      <c r="N28" s="788"/>
      <c r="O28" s="789"/>
      <c r="P28" s="789"/>
      <c r="Q28" s="789"/>
      <c r="R28" s="789"/>
      <c r="S28" s="790"/>
      <c r="T28" s="10"/>
      <c r="U28" s="10"/>
      <c r="V28" s="10"/>
      <c r="W28" s="10"/>
      <c r="X28" s="10"/>
      <c r="Y28" s="10"/>
      <c r="Z28" s="10"/>
      <c r="AA28" s="10"/>
    </row>
    <row r="29" spans="1:27" ht="16.5" customHeight="1" x14ac:dyDescent="0.2">
      <c r="A29" s="784">
        <f t="shared" si="0"/>
        <v>21</v>
      </c>
      <c r="B29" s="835" t="s">
        <v>1292</v>
      </c>
      <c r="C29" s="793">
        <f>-'működ. mérleg '!C27</f>
        <v>0</v>
      </c>
      <c r="D29" s="793">
        <f>-'működ. mérleg '!D27</f>
        <v>0</v>
      </c>
      <c r="E29" s="793">
        <f>-'működ. mérleg '!E27</f>
        <v>0</v>
      </c>
      <c r="F29" s="793"/>
      <c r="G29" s="793"/>
      <c r="H29" s="793"/>
      <c r="I29" s="793"/>
      <c r="J29" s="793"/>
      <c r="K29" s="788"/>
      <c r="L29" s="788"/>
      <c r="M29" s="788"/>
      <c r="N29" s="788"/>
      <c r="O29" s="789"/>
      <c r="P29" s="789"/>
      <c r="Q29" s="789"/>
      <c r="R29" s="789"/>
      <c r="S29" s="790"/>
      <c r="T29" s="10"/>
      <c r="U29" s="10"/>
      <c r="V29" s="10"/>
      <c r="W29" s="10"/>
      <c r="X29" s="10"/>
      <c r="Y29" s="10"/>
      <c r="Z29" s="10"/>
      <c r="AA29" s="10"/>
    </row>
    <row r="30" spans="1:27" s="11" customFormat="1" x14ac:dyDescent="0.2">
      <c r="A30" s="784">
        <f t="shared" si="0"/>
        <v>22</v>
      </c>
      <c r="B30" s="850"/>
      <c r="C30" s="788"/>
      <c r="D30" s="788"/>
      <c r="E30" s="788">
        <f>C30+D30</f>
        <v>0</v>
      </c>
      <c r="F30" s="788"/>
      <c r="G30" s="788"/>
      <c r="H30" s="788"/>
      <c r="I30" s="788"/>
      <c r="J30" s="788"/>
      <c r="K30" s="788"/>
      <c r="L30" s="788"/>
      <c r="M30" s="788"/>
      <c r="N30" s="788"/>
      <c r="O30" s="802"/>
      <c r="P30" s="802"/>
      <c r="Q30" s="802"/>
      <c r="R30" s="802"/>
      <c r="S30" s="803"/>
    </row>
    <row r="31" spans="1:27" s="11" customFormat="1" x14ac:dyDescent="0.2">
      <c r="A31" s="784">
        <f t="shared" si="0"/>
        <v>23</v>
      </c>
      <c r="B31" s="787" t="s">
        <v>53</v>
      </c>
      <c r="C31" s="787"/>
      <c r="D31" s="787"/>
      <c r="E31" s="787"/>
      <c r="F31" s="787"/>
      <c r="G31" s="787"/>
      <c r="H31" s="787"/>
      <c r="I31" s="787"/>
      <c r="J31" s="787"/>
      <c r="K31" s="787" t="s">
        <v>33</v>
      </c>
      <c r="L31" s="786"/>
      <c r="M31" s="786"/>
      <c r="N31" s="786"/>
      <c r="O31" s="802"/>
      <c r="P31" s="802"/>
      <c r="Q31" s="802"/>
      <c r="R31" s="802"/>
      <c r="S31" s="803"/>
    </row>
    <row r="32" spans="1:27" s="11" customFormat="1" x14ac:dyDescent="0.2">
      <c r="A32" s="784">
        <f t="shared" si="0"/>
        <v>24</v>
      </c>
      <c r="B32" s="805" t="s">
        <v>682</v>
      </c>
      <c r="C32" s="787"/>
      <c r="D32" s="787"/>
      <c r="E32" s="787"/>
      <c r="F32" s="787"/>
      <c r="G32" s="787"/>
      <c r="H32" s="787"/>
      <c r="I32" s="787"/>
      <c r="J32" s="787"/>
      <c r="K32" s="805" t="s">
        <v>4</v>
      </c>
      <c r="L32" s="786"/>
      <c r="M32" s="802"/>
      <c r="N32" s="802"/>
      <c r="O32" s="802"/>
      <c r="P32" s="802"/>
      <c r="Q32" s="802"/>
      <c r="R32" s="802"/>
      <c r="S32" s="803"/>
    </row>
    <row r="33" spans="1:27" s="11" customFormat="1" x14ac:dyDescent="0.2">
      <c r="A33" s="784">
        <f t="shared" si="0"/>
        <v>25</v>
      </c>
      <c r="B33" s="789" t="s">
        <v>998</v>
      </c>
      <c r="C33" s="795">
        <f>Össz.önkor.mérleg.!D41</f>
        <v>634227</v>
      </c>
      <c r="D33" s="795">
        <f>Össz.önkor.mérleg.!E41</f>
        <v>0</v>
      </c>
      <c r="E33" s="795">
        <f>Össz.önkor.mérleg.!F41</f>
        <v>634227</v>
      </c>
      <c r="F33" s="795"/>
      <c r="G33" s="795"/>
      <c r="H33" s="795"/>
      <c r="I33" s="795"/>
      <c r="J33" s="795"/>
      <c r="K33" s="789" t="s">
        <v>3</v>
      </c>
      <c r="L33" s="786"/>
      <c r="M33" s="786"/>
      <c r="N33" s="786"/>
      <c r="O33" s="802"/>
      <c r="P33" s="802"/>
      <c r="Q33" s="802"/>
      <c r="R33" s="802"/>
      <c r="S33" s="803"/>
    </row>
    <row r="34" spans="1:27" x14ac:dyDescent="0.2">
      <c r="A34" s="784">
        <f t="shared" si="0"/>
        <v>26</v>
      </c>
      <c r="B34" s="795" t="s">
        <v>684</v>
      </c>
      <c r="C34" s="851"/>
      <c r="D34" s="805"/>
      <c r="E34" s="805">
        <f>SUM(C34:D34)</f>
        <v>0</v>
      </c>
      <c r="F34" s="805"/>
      <c r="G34" s="805"/>
      <c r="H34" s="805"/>
      <c r="I34" s="805"/>
      <c r="J34" s="805"/>
      <c r="K34" s="795" t="s">
        <v>5</v>
      </c>
      <c r="L34" s="786"/>
      <c r="M34" s="786"/>
      <c r="N34" s="786"/>
      <c r="O34" s="789"/>
      <c r="P34" s="789"/>
      <c r="Q34" s="789"/>
      <c r="R34" s="789"/>
      <c r="S34" s="790"/>
      <c r="T34" s="10"/>
      <c r="U34" s="10"/>
      <c r="V34" s="10"/>
      <c r="W34" s="10"/>
      <c r="X34" s="10"/>
      <c r="Y34" s="10"/>
      <c r="Z34" s="10"/>
      <c r="AA34" s="10"/>
    </row>
    <row r="35" spans="1:27" x14ac:dyDescent="0.2">
      <c r="A35" s="784">
        <f t="shared" si="0"/>
        <v>27</v>
      </c>
      <c r="B35" s="795" t="s">
        <v>683</v>
      </c>
      <c r="C35" s="795"/>
      <c r="D35" s="795"/>
      <c r="E35" s="795"/>
      <c r="F35" s="795"/>
      <c r="G35" s="795"/>
      <c r="H35" s="795"/>
      <c r="I35" s="795"/>
      <c r="J35" s="795"/>
      <c r="K35" s="795" t="s">
        <v>6</v>
      </c>
      <c r="L35" s="786"/>
      <c r="M35" s="786"/>
      <c r="N35" s="786"/>
      <c r="O35" s="789"/>
      <c r="P35" s="789"/>
      <c r="Q35" s="789"/>
      <c r="R35" s="789"/>
      <c r="S35" s="790"/>
      <c r="T35" s="10"/>
      <c r="U35" s="10"/>
      <c r="V35" s="10"/>
      <c r="W35" s="10"/>
      <c r="X35" s="10"/>
      <c r="Y35" s="10"/>
      <c r="Z35" s="10"/>
      <c r="AA35" s="10"/>
    </row>
    <row r="36" spans="1:27" x14ac:dyDescent="0.2">
      <c r="A36" s="784">
        <f t="shared" si="0"/>
        <v>28</v>
      </c>
      <c r="B36" s="795" t="s">
        <v>1041</v>
      </c>
      <c r="C36" s="792">
        <f>-(C28+C33)-C30-C29</f>
        <v>571632</v>
      </c>
      <c r="D36" s="792">
        <f t="shared" ref="D36:E36" si="2">-(D28+D33)-D30-D29</f>
        <v>221922</v>
      </c>
      <c r="E36" s="792">
        <f t="shared" si="2"/>
        <v>793554</v>
      </c>
      <c r="F36" s="792"/>
      <c r="G36" s="792"/>
      <c r="H36" s="792"/>
      <c r="I36" s="792"/>
      <c r="J36" s="792"/>
      <c r="K36" s="795" t="s">
        <v>7</v>
      </c>
      <c r="L36" s="786"/>
      <c r="M36" s="786"/>
      <c r="N36" s="786"/>
      <c r="O36" s="789"/>
      <c r="P36" s="789"/>
      <c r="Q36" s="789"/>
      <c r="R36" s="789"/>
      <c r="S36" s="790"/>
      <c r="T36" s="10"/>
      <c r="U36" s="10"/>
      <c r="V36" s="10"/>
      <c r="W36" s="10"/>
      <c r="X36" s="10"/>
      <c r="Y36" s="10"/>
      <c r="Z36" s="10"/>
      <c r="AA36" s="10"/>
    </row>
    <row r="37" spans="1:27" x14ac:dyDescent="0.2">
      <c r="A37" s="784">
        <f t="shared" si="0"/>
        <v>29</v>
      </c>
      <c r="B37" s="795" t="s">
        <v>685</v>
      </c>
      <c r="C37" s="787"/>
      <c r="D37" s="787"/>
      <c r="E37" s="787"/>
      <c r="F37" s="787"/>
      <c r="G37" s="787"/>
      <c r="H37" s="787"/>
      <c r="I37" s="787"/>
      <c r="J37" s="787"/>
      <c r="K37" s="795" t="s">
        <v>9</v>
      </c>
      <c r="L37" s="786"/>
      <c r="M37" s="786"/>
      <c r="N37" s="788"/>
      <c r="O37" s="789"/>
      <c r="P37" s="789"/>
      <c r="Q37" s="789"/>
      <c r="R37" s="789"/>
      <c r="S37" s="790"/>
      <c r="T37" s="10"/>
      <c r="U37" s="10"/>
      <c r="V37" s="10"/>
      <c r="W37" s="10"/>
      <c r="X37" s="10"/>
      <c r="Y37" s="10"/>
      <c r="Z37" s="10"/>
      <c r="AA37" s="10"/>
    </row>
    <row r="38" spans="1:27" x14ac:dyDescent="0.2">
      <c r="A38" s="784">
        <f t="shared" si="0"/>
        <v>30</v>
      </c>
      <c r="B38" s="795" t="s">
        <v>686</v>
      </c>
      <c r="C38" s="795"/>
      <c r="D38" s="795"/>
      <c r="E38" s="795"/>
      <c r="F38" s="795"/>
      <c r="G38" s="795"/>
      <c r="H38" s="795"/>
      <c r="I38" s="795"/>
      <c r="J38" s="795"/>
      <c r="K38" s="795" t="s">
        <v>10</v>
      </c>
      <c r="L38" s="788"/>
      <c r="M38" s="788"/>
      <c r="N38" s="788"/>
      <c r="O38" s="789"/>
      <c r="P38" s="789"/>
      <c r="Q38" s="789"/>
      <c r="R38" s="789"/>
      <c r="S38" s="790"/>
      <c r="T38" s="10"/>
      <c r="U38" s="10"/>
      <c r="V38" s="10"/>
      <c r="W38" s="10"/>
      <c r="X38" s="10"/>
      <c r="Y38" s="10"/>
      <c r="Z38" s="10"/>
      <c r="AA38" s="10"/>
    </row>
    <row r="39" spans="1:27" x14ac:dyDescent="0.2">
      <c r="A39" s="784">
        <f t="shared" si="0"/>
        <v>31</v>
      </c>
      <c r="B39" s="795" t="s">
        <v>687</v>
      </c>
      <c r="C39" s="795"/>
      <c r="D39" s="795"/>
      <c r="E39" s="795"/>
      <c r="F39" s="795"/>
      <c r="G39" s="795"/>
      <c r="H39" s="795"/>
      <c r="I39" s="795"/>
      <c r="J39" s="795"/>
      <c r="K39" s="795" t="s">
        <v>11</v>
      </c>
      <c r="L39" s="788"/>
      <c r="M39" s="788"/>
      <c r="N39" s="788"/>
      <c r="O39" s="789"/>
      <c r="P39" s="789"/>
      <c r="Q39" s="789"/>
      <c r="R39" s="789"/>
      <c r="S39" s="790"/>
      <c r="T39" s="10"/>
      <c r="U39" s="10"/>
      <c r="V39" s="10"/>
      <c r="W39" s="10"/>
      <c r="X39" s="10"/>
      <c r="Y39" s="10"/>
      <c r="Z39" s="10"/>
      <c r="AA39" s="10"/>
    </row>
    <row r="40" spans="1:27" x14ac:dyDescent="0.2">
      <c r="A40" s="784">
        <f t="shared" si="0"/>
        <v>32</v>
      </c>
      <c r="B40" s="795" t="s">
        <v>688</v>
      </c>
      <c r="C40" s="795"/>
      <c r="D40" s="795"/>
      <c r="E40" s="795"/>
      <c r="F40" s="795"/>
      <c r="G40" s="795"/>
      <c r="H40" s="795"/>
      <c r="I40" s="795"/>
      <c r="J40" s="795"/>
      <c r="K40" s="795" t="s">
        <v>12</v>
      </c>
      <c r="L40" s="788"/>
      <c r="M40" s="788"/>
      <c r="N40" s="788"/>
      <c r="O40" s="789"/>
      <c r="P40" s="789"/>
      <c r="Q40" s="789"/>
      <c r="R40" s="789"/>
      <c r="S40" s="790"/>
      <c r="T40" s="10"/>
      <c r="U40" s="10"/>
      <c r="V40" s="10"/>
      <c r="W40" s="10"/>
      <c r="X40" s="10"/>
      <c r="Y40" s="10"/>
      <c r="Z40" s="10"/>
      <c r="AA40" s="10"/>
    </row>
    <row r="41" spans="1:27" x14ac:dyDescent="0.2">
      <c r="A41" s="784">
        <f t="shared" si="0"/>
        <v>33</v>
      </c>
      <c r="B41" s="795" t="s">
        <v>0</v>
      </c>
      <c r="C41" s="795"/>
      <c r="D41" s="795"/>
      <c r="E41" s="795"/>
      <c r="F41" s="795"/>
      <c r="G41" s="795"/>
      <c r="H41" s="795"/>
      <c r="I41" s="795"/>
      <c r="J41" s="795"/>
      <c r="K41" s="795" t="s">
        <v>13</v>
      </c>
      <c r="L41" s="788"/>
      <c r="M41" s="788"/>
      <c r="N41" s="788"/>
      <c r="O41" s="789"/>
      <c r="P41" s="789"/>
      <c r="Q41" s="789"/>
      <c r="R41" s="789"/>
      <c r="S41" s="790"/>
      <c r="T41" s="10"/>
      <c r="U41" s="10"/>
      <c r="V41" s="10"/>
      <c r="W41" s="10"/>
      <c r="X41" s="10"/>
      <c r="Y41" s="10"/>
      <c r="Z41" s="10"/>
      <c r="AA41" s="10"/>
    </row>
    <row r="42" spans="1:27" x14ac:dyDescent="0.2">
      <c r="A42" s="784">
        <f t="shared" si="0"/>
        <v>34</v>
      </c>
      <c r="B42" s="795" t="s">
        <v>1</v>
      </c>
      <c r="C42" s="795"/>
      <c r="D42" s="795"/>
      <c r="E42" s="795"/>
      <c r="F42" s="795"/>
      <c r="G42" s="795"/>
      <c r="H42" s="795"/>
      <c r="I42" s="795"/>
      <c r="J42" s="795"/>
      <c r="K42" s="795" t="s">
        <v>14</v>
      </c>
      <c r="L42" s="788"/>
      <c r="M42" s="788"/>
      <c r="N42" s="788"/>
      <c r="O42" s="789"/>
      <c r="P42" s="789"/>
      <c r="Q42" s="789"/>
      <c r="R42" s="789"/>
      <c r="S42" s="790"/>
      <c r="T42" s="10"/>
      <c r="U42" s="10"/>
      <c r="V42" s="10"/>
      <c r="W42" s="10"/>
      <c r="X42" s="10"/>
      <c r="Y42" s="10"/>
      <c r="Z42" s="10"/>
      <c r="AA42" s="10"/>
    </row>
    <row r="43" spans="1:27" x14ac:dyDescent="0.2">
      <c r="A43" s="784">
        <f t="shared" si="0"/>
        <v>35</v>
      </c>
      <c r="B43" s="795" t="s">
        <v>2</v>
      </c>
      <c r="C43" s="795"/>
      <c r="D43" s="795"/>
      <c r="E43" s="795"/>
      <c r="F43" s="795"/>
      <c r="G43" s="795"/>
      <c r="H43" s="795"/>
      <c r="I43" s="795"/>
      <c r="J43" s="795"/>
      <c r="K43" s="795" t="s">
        <v>15</v>
      </c>
      <c r="L43" s="788"/>
      <c r="M43" s="788"/>
      <c r="N43" s="788"/>
      <c r="O43" s="789"/>
      <c r="P43" s="789"/>
      <c r="Q43" s="789"/>
      <c r="R43" s="789"/>
      <c r="S43" s="790"/>
      <c r="T43" s="10"/>
      <c r="U43" s="10"/>
      <c r="V43" s="10"/>
      <c r="W43" s="10"/>
      <c r="X43" s="10"/>
      <c r="Y43" s="10"/>
      <c r="Z43" s="10"/>
      <c r="AA43" s="10"/>
    </row>
    <row r="44" spans="1:27" ht="12" thickBot="1" x14ac:dyDescent="0.25">
      <c r="A44" s="808">
        <f t="shared" si="0"/>
        <v>36</v>
      </c>
      <c r="B44" s="809" t="s">
        <v>448</v>
      </c>
      <c r="C44" s="852">
        <f t="shared" ref="C44:D44" si="3">SUM(C31:C42)</f>
        <v>1205859</v>
      </c>
      <c r="D44" s="852">
        <f t="shared" si="3"/>
        <v>221922</v>
      </c>
      <c r="E44" s="852">
        <f>SUM(E31:E42)</f>
        <v>1427781</v>
      </c>
      <c r="F44" s="852"/>
      <c r="G44" s="852"/>
      <c r="H44" s="852"/>
      <c r="I44" s="852"/>
      <c r="J44" s="852"/>
      <c r="K44" s="852" t="s">
        <v>441</v>
      </c>
      <c r="L44" s="853">
        <f>SUM(L32:L43)</f>
        <v>0</v>
      </c>
      <c r="M44" s="853">
        <f>SUM(M32:M43)</f>
        <v>0</v>
      </c>
      <c r="N44" s="853">
        <f>SUM(N32:N43)</f>
        <v>0</v>
      </c>
      <c r="O44" s="812"/>
      <c r="P44" s="812"/>
      <c r="Q44" s="812"/>
      <c r="R44" s="812"/>
      <c r="S44" s="813"/>
      <c r="T44" s="10"/>
      <c r="U44" s="10"/>
      <c r="V44" s="10"/>
      <c r="W44" s="10"/>
      <c r="X44" s="10"/>
      <c r="Y44" s="10"/>
      <c r="Z44" s="10"/>
      <c r="AA44" s="10"/>
    </row>
    <row r="45" spans="1:27" ht="12" thickBot="1" x14ac:dyDescent="0.25">
      <c r="A45" s="697">
        <f t="shared" si="0"/>
        <v>37</v>
      </c>
      <c r="B45" s="696" t="s">
        <v>443</v>
      </c>
      <c r="C45" s="689">
        <f t="shared" ref="C45:D45" si="4">C26+C29+C44</f>
        <v>1856484</v>
      </c>
      <c r="D45" s="689">
        <f t="shared" si="4"/>
        <v>425126</v>
      </c>
      <c r="E45" s="689">
        <f>E26+E29+E44</f>
        <v>2281610</v>
      </c>
      <c r="F45" s="689"/>
      <c r="G45" s="689"/>
      <c r="H45" s="689"/>
      <c r="I45" s="689"/>
      <c r="J45" s="689"/>
      <c r="K45" s="696" t="s">
        <v>442</v>
      </c>
      <c r="L45" s="689">
        <f>L26+L44</f>
        <v>1856484</v>
      </c>
      <c r="M45" s="689">
        <f>M26+M44</f>
        <v>425126</v>
      </c>
      <c r="N45" s="854">
        <f>N26+N44</f>
        <v>2281610</v>
      </c>
      <c r="O45" s="815"/>
      <c r="P45" s="815"/>
      <c r="Q45" s="815"/>
      <c r="R45" s="815"/>
      <c r="S45" s="816"/>
      <c r="T45" s="10"/>
      <c r="U45" s="10"/>
      <c r="V45" s="10"/>
      <c r="W45" s="10"/>
      <c r="X45" s="10"/>
      <c r="Y45" s="10"/>
      <c r="Z45" s="10"/>
      <c r="AA45" s="10"/>
    </row>
    <row r="46" spans="1:27" x14ac:dyDescent="0.2">
      <c r="B46" s="130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">
      <c r="Y47" s="10"/>
      <c r="Z47" s="10"/>
      <c r="AA47" s="10"/>
    </row>
    <row r="50" spans="4:4" x14ac:dyDescent="0.2">
      <c r="D50" s="124"/>
    </row>
  </sheetData>
  <sheetProtection selectLockedCells="1" selectUnlockedCells="1"/>
  <mergeCells count="14">
    <mergeCell ref="O7:P7"/>
    <mergeCell ref="Q7:S7"/>
    <mergeCell ref="A1:N1"/>
    <mergeCell ref="C6:E6"/>
    <mergeCell ref="L6:N6"/>
    <mergeCell ref="C7:E7"/>
    <mergeCell ref="L7:N7"/>
    <mergeCell ref="B3:N3"/>
    <mergeCell ref="A5:N5"/>
    <mergeCell ref="B4:N4"/>
    <mergeCell ref="A6:A8"/>
    <mergeCell ref="B6:B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8" firstPageNumber="0" orientation="landscape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673" t="s">
        <v>1253</v>
      </c>
      <c r="B1" s="1673"/>
      <c r="C1" s="1673"/>
      <c r="D1" s="1673"/>
      <c r="E1" s="1673"/>
      <c r="F1" s="1673"/>
      <c r="G1" s="1673"/>
      <c r="H1" s="1673"/>
    </row>
    <row r="2" spans="1:8" x14ac:dyDescent="0.2">
      <c r="A2" s="584"/>
      <c r="B2" s="584"/>
      <c r="C2" s="584"/>
      <c r="D2" s="585"/>
      <c r="E2" s="584"/>
      <c r="F2" s="584"/>
      <c r="G2" s="584"/>
      <c r="H2" s="584"/>
    </row>
    <row r="3" spans="1:8" x14ac:dyDescent="0.2">
      <c r="A3" s="1677" t="s">
        <v>77</v>
      </c>
      <c r="B3" s="1677"/>
      <c r="C3" s="1677"/>
      <c r="D3" s="1677"/>
      <c r="E3" s="1677"/>
      <c r="F3" s="1677"/>
      <c r="G3" s="1677"/>
      <c r="H3" s="1677"/>
    </row>
    <row r="4" spans="1:8" ht="14.25" x14ac:dyDescent="0.2">
      <c r="A4" s="1665" t="s">
        <v>316</v>
      </c>
      <c r="B4" s="1665"/>
      <c r="C4" s="1665"/>
      <c r="D4" s="1665"/>
      <c r="E4" s="1665"/>
      <c r="F4" s="1665"/>
      <c r="G4" s="1665"/>
      <c r="H4" s="1665"/>
    </row>
    <row r="5" spans="1:8" ht="14.25" x14ac:dyDescent="0.2">
      <c r="A5" s="1665" t="s">
        <v>1058</v>
      </c>
      <c r="B5" s="1665"/>
      <c r="C5" s="1665"/>
      <c r="D5" s="1665"/>
      <c r="E5" s="1665"/>
      <c r="F5" s="1665"/>
      <c r="G5" s="1665"/>
      <c r="H5" s="1665"/>
    </row>
    <row r="6" spans="1:8" ht="14.25" x14ac:dyDescent="0.2">
      <c r="A6" s="1666" t="s">
        <v>55</v>
      </c>
      <c r="B6" s="1666"/>
      <c r="C6" s="1666"/>
      <c r="D6" s="1666"/>
      <c r="E6" s="1666"/>
      <c r="F6" s="1666"/>
      <c r="G6" s="1666"/>
      <c r="H6" s="1666"/>
    </row>
    <row r="7" spans="1:8" ht="15" x14ac:dyDescent="0.25">
      <c r="A7" s="638"/>
      <c r="B7" s="639"/>
      <c r="C7" s="639"/>
      <c r="D7" s="639"/>
      <c r="E7" s="639"/>
      <c r="F7" s="584"/>
      <c r="G7" s="584"/>
      <c r="H7" s="584"/>
    </row>
    <row r="8" spans="1:8" ht="14.25" customHeight="1" x14ac:dyDescent="0.2">
      <c r="A8" s="1674"/>
      <c r="B8" s="640" t="s">
        <v>57</v>
      </c>
      <c r="C8" s="640" t="s">
        <v>58</v>
      </c>
      <c r="D8" s="640" t="s">
        <v>59</v>
      </c>
      <c r="E8" s="640" t="s">
        <v>60</v>
      </c>
      <c r="F8" s="641" t="s">
        <v>470</v>
      </c>
      <c r="G8" s="641" t="s">
        <v>471</v>
      </c>
      <c r="H8" s="641" t="s">
        <v>472</v>
      </c>
    </row>
    <row r="9" spans="1:8" ht="14.25" customHeight="1" x14ac:dyDescent="0.2">
      <c r="A9" s="1674"/>
      <c r="B9" s="1675" t="s">
        <v>318</v>
      </c>
      <c r="C9" s="1676" t="s">
        <v>319</v>
      </c>
      <c r="D9" s="1676" t="s">
        <v>320</v>
      </c>
      <c r="E9" s="642"/>
      <c r="F9" s="643"/>
      <c r="G9" s="644"/>
      <c r="H9" s="644"/>
    </row>
    <row r="10" spans="1:8" ht="14.25" customHeight="1" x14ac:dyDescent="0.2">
      <c r="A10" s="1674"/>
      <c r="B10" s="1675"/>
      <c r="C10" s="1676"/>
      <c r="D10" s="1676"/>
      <c r="E10" s="645" t="s">
        <v>935</v>
      </c>
      <c r="F10" s="646" t="s">
        <v>1247</v>
      </c>
      <c r="G10" s="647" t="s">
        <v>1059</v>
      </c>
      <c r="H10" s="647" t="s">
        <v>1244</v>
      </c>
    </row>
    <row r="11" spans="1:8" ht="15" x14ac:dyDescent="0.25">
      <c r="A11" s="297"/>
      <c r="B11" s="333" t="s">
        <v>326</v>
      </c>
      <c r="C11" s="334"/>
      <c r="D11" s="334"/>
      <c r="E11" s="584"/>
      <c r="F11" s="584"/>
      <c r="G11" s="584"/>
      <c r="H11" s="584"/>
    </row>
    <row r="12" spans="1:8" ht="15" x14ac:dyDescent="0.25">
      <c r="A12" s="648">
        <v>1</v>
      </c>
      <c r="B12" s="649" t="s">
        <v>330</v>
      </c>
      <c r="C12" s="650" t="s">
        <v>329</v>
      </c>
      <c r="D12" s="651" t="s">
        <v>332</v>
      </c>
      <c r="E12" s="652">
        <v>300</v>
      </c>
      <c r="F12" s="652">
        <v>300</v>
      </c>
      <c r="G12" s="652">
        <v>300</v>
      </c>
      <c r="H12" s="652">
        <v>300</v>
      </c>
    </row>
    <row r="13" spans="1:8" ht="15" x14ac:dyDescent="0.25">
      <c r="A13" s="648">
        <v>2</v>
      </c>
      <c r="B13" s="653" t="s">
        <v>333</v>
      </c>
      <c r="C13" s="654" t="s">
        <v>334</v>
      </c>
      <c r="D13" s="651" t="s">
        <v>332</v>
      </c>
      <c r="E13" s="655">
        <v>100</v>
      </c>
      <c r="F13" s="655">
        <v>100</v>
      </c>
      <c r="G13" s="655">
        <v>100</v>
      </c>
      <c r="H13" s="655">
        <v>100</v>
      </c>
    </row>
    <row r="14" spans="1:8" ht="15" x14ac:dyDescent="0.25">
      <c r="A14" s="648">
        <v>3</v>
      </c>
      <c r="B14" s="653" t="s">
        <v>337</v>
      </c>
      <c r="C14" s="654" t="s">
        <v>715</v>
      </c>
      <c r="D14" s="651" t="s">
        <v>332</v>
      </c>
      <c r="E14" s="655">
        <v>24241</v>
      </c>
      <c r="F14" s="655">
        <v>24241</v>
      </c>
      <c r="G14" s="655">
        <v>24241</v>
      </c>
      <c r="H14" s="655">
        <v>24241</v>
      </c>
    </row>
    <row r="15" spans="1:8" ht="15" x14ac:dyDescent="0.25">
      <c r="A15" s="648">
        <v>4</v>
      </c>
      <c r="B15" s="653" t="s">
        <v>337</v>
      </c>
      <c r="C15" s="654" t="s">
        <v>716</v>
      </c>
      <c r="D15" s="651" t="s">
        <v>332</v>
      </c>
      <c r="E15" s="655">
        <v>27321</v>
      </c>
      <c r="F15" s="655">
        <v>27321</v>
      </c>
      <c r="G15" s="655">
        <v>27321</v>
      </c>
      <c r="H15" s="655">
        <v>27321</v>
      </c>
    </row>
    <row r="16" spans="1:8" ht="15" x14ac:dyDescent="0.25">
      <c r="A16" s="648">
        <v>5</v>
      </c>
      <c r="B16" s="653" t="s">
        <v>345</v>
      </c>
      <c r="C16" s="654" t="s">
        <v>346</v>
      </c>
      <c r="D16" s="651" t="s">
        <v>332</v>
      </c>
      <c r="E16" s="655">
        <v>10</v>
      </c>
      <c r="F16" s="655">
        <v>10</v>
      </c>
      <c r="G16" s="655">
        <v>10</v>
      </c>
      <c r="H16" s="655">
        <v>10</v>
      </c>
    </row>
    <row r="17" spans="1:19" ht="15" x14ac:dyDescent="0.25">
      <c r="A17" s="648">
        <v>6</v>
      </c>
      <c r="B17" s="653" t="s">
        <v>717</v>
      </c>
      <c r="C17" s="654" t="s">
        <v>718</v>
      </c>
      <c r="D17" s="656" t="s">
        <v>332</v>
      </c>
      <c r="E17" s="655">
        <v>62</v>
      </c>
      <c r="F17" s="655">
        <v>62</v>
      </c>
      <c r="G17" s="655">
        <v>62</v>
      </c>
      <c r="H17" s="655">
        <v>62</v>
      </c>
    </row>
    <row r="18" spans="1:19" ht="15" x14ac:dyDescent="0.25">
      <c r="A18" s="648">
        <v>7</v>
      </c>
      <c r="B18" s="653" t="s">
        <v>719</v>
      </c>
      <c r="C18" s="654" t="s">
        <v>720</v>
      </c>
      <c r="D18" s="656" t="s">
        <v>332</v>
      </c>
      <c r="E18" s="655">
        <v>900</v>
      </c>
      <c r="F18" s="655">
        <v>900</v>
      </c>
      <c r="G18" s="655">
        <v>900</v>
      </c>
      <c r="H18" s="655">
        <v>900</v>
      </c>
    </row>
    <row r="19" spans="1:19" ht="15" x14ac:dyDescent="0.25">
      <c r="A19" s="648">
        <v>8</v>
      </c>
      <c r="B19" s="653" t="s">
        <v>721</v>
      </c>
      <c r="C19" s="654" t="s">
        <v>722</v>
      </c>
      <c r="D19" s="656" t="s">
        <v>332</v>
      </c>
      <c r="E19" s="655">
        <v>1190</v>
      </c>
      <c r="F19" s="655">
        <v>1190</v>
      </c>
      <c r="G19" s="655">
        <v>1190</v>
      </c>
      <c r="H19" s="655">
        <v>1190</v>
      </c>
    </row>
    <row r="20" spans="1:19" ht="15" x14ac:dyDescent="0.25">
      <c r="A20" s="648">
        <v>9</v>
      </c>
      <c r="B20" s="653" t="s">
        <v>357</v>
      </c>
      <c r="C20" s="654" t="s">
        <v>723</v>
      </c>
      <c r="D20" s="656" t="s">
        <v>332</v>
      </c>
      <c r="E20" s="655">
        <v>1600</v>
      </c>
      <c r="F20" s="655">
        <v>1600</v>
      </c>
      <c r="G20" s="655">
        <v>1600</v>
      </c>
      <c r="H20" s="655">
        <v>1600</v>
      </c>
    </row>
    <row r="21" spans="1:19" ht="31.5" customHeight="1" x14ac:dyDescent="0.25">
      <c r="A21" s="648">
        <v>10</v>
      </c>
      <c r="B21" s="657" t="s">
        <v>724</v>
      </c>
      <c r="C21" s="658" t="s">
        <v>725</v>
      </c>
      <c r="D21" s="659" t="s">
        <v>332</v>
      </c>
      <c r="E21" s="660">
        <v>35</v>
      </c>
      <c r="F21" s="660">
        <v>35</v>
      </c>
      <c r="G21" s="660">
        <v>35</v>
      </c>
      <c r="H21" s="660">
        <v>35</v>
      </c>
    </row>
    <row r="22" spans="1:19" ht="15" x14ac:dyDescent="0.25">
      <c r="A22" s="648">
        <f>A21+1</f>
        <v>11</v>
      </c>
      <c r="B22" s="654"/>
      <c r="C22" s="654" t="s">
        <v>726</v>
      </c>
      <c r="D22" s="651"/>
      <c r="E22" s="655">
        <v>1844</v>
      </c>
      <c r="F22" s="655">
        <v>1844</v>
      </c>
      <c r="G22" s="655">
        <v>1844</v>
      </c>
      <c r="H22" s="655">
        <v>1844</v>
      </c>
    </row>
    <row r="23" spans="1:19" ht="15" x14ac:dyDescent="0.25">
      <c r="A23" s="648">
        <v>12</v>
      </c>
      <c r="B23" s="653" t="s">
        <v>955</v>
      </c>
      <c r="C23" s="654" t="s">
        <v>952</v>
      </c>
      <c r="D23" s="651" t="s">
        <v>332</v>
      </c>
      <c r="E23" s="655">
        <v>900</v>
      </c>
      <c r="F23" s="655">
        <v>900</v>
      </c>
      <c r="G23" s="655">
        <v>900</v>
      </c>
      <c r="H23" s="655">
        <v>900</v>
      </c>
    </row>
    <row r="24" spans="1:19" ht="31.5" customHeight="1" x14ac:dyDescent="0.25">
      <c r="A24" s="648">
        <f t="shared" ref="A24:A68" si="0">A23+1</f>
        <v>13</v>
      </c>
      <c r="B24" s="466" t="s">
        <v>381</v>
      </c>
      <c r="C24" s="661" t="s">
        <v>382</v>
      </c>
      <c r="D24" s="662" t="s">
        <v>332</v>
      </c>
      <c r="E24" s="663">
        <v>40</v>
      </c>
      <c r="F24" s="663">
        <v>40</v>
      </c>
      <c r="G24" s="663">
        <v>40</v>
      </c>
      <c r="H24" s="663">
        <v>40</v>
      </c>
    </row>
    <row r="25" spans="1:19" ht="30" customHeight="1" x14ac:dyDescent="0.25">
      <c r="A25" s="648">
        <f t="shared" si="0"/>
        <v>14</v>
      </c>
      <c r="B25" s="466" t="s">
        <v>385</v>
      </c>
      <c r="C25" s="661" t="s">
        <v>727</v>
      </c>
      <c r="D25" s="662" t="s">
        <v>332</v>
      </c>
      <c r="E25" s="664">
        <v>210</v>
      </c>
      <c r="F25" s="664">
        <v>210</v>
      </c>
      <c r="G25" s="664">
        <v>210</v>
      </c>
      <c r="H25" s="664">
        <v>210</v>
      </c>
    </row>
    <row r="26" spans="1:19" ht="27" customHeight="1" x14ac:dyDescent="0.25">
      <c r="A26" s="648">
        <f t="shared" si="0"/>
        <v>15</v>
      </c>
      <c r="B26" s="657" t="s">
        <v>387</v>
      </c>
      <c r="C26" s="658" t="s">
        <v>728</v>
      </c>
      <c r="D26" s="659" t="s">
        <v>332</v>
      </c>
      <c r="E26" s="660">
        <v>199</v>
      </c>
      <c r="F26" s="660">
        <v>199</v>
      </c>
      <c r="G26" s="660">
        <v>199</v>
      </c>
      <c r="H26" s="660">
        <v>199</v>
      </c>
    </row>
    <row r="27" spans="1:19" ht="26.25" customHeight="1" x14ac:dyDescent="0.25">
      <c r="A27" s="648">
        <f t="shared" si="0"/>
        <v>16</v>
      </c>
      <c r="B27" s="657" t="s">
        <v>389</v>
      </c>
      <c r="C27" s="658" t="s">
        <v>390</v>
      </c>
      <c r="D27" s="659" t="s">
        <v>332</v>
      </c>
      <c r="E27" s="660">
        <v>1863</v>
      </c>
      <c r="F27" s="660">
        <v>1863</v>
      </c>
      <c r="G27" s="660">
        <v>1863</v>
      </c>
      <c r="H27" s="660">
        <v>1863</v>
      </c>
    </row>
    <row r="28" spans="1:19" s="666" customFormat="1" ht="30" customHeight="1" x14ac:dyDescent="0.25">
      <c r="A28" s="648">
        <f t="shared" si="0"/>
        <v>17</v>
      </c>
      <c r="B28" s="466" t="s">
        <v>1060</v>
      </c>
      <c r="C28" s="665" t="s">
        <v>1061</v>
      </c>
      <c r="D28" s="662" t="s">
        <v>332</v>
      </c>
      <c r="E28" s="469">
        <v>5985</v>
      </c>
      <c r="F28" s="469">
        <v>5985</v>
      </c>
      <c r="G28" s="469">
        <v>5985</v>
      </c>
      <c r="H28" s="469">
        <v>5985</v>
      </c>
      <c r="I28" s="470"/>
      <c r="J28" s="470"/>
      <c r="K28" s="470"/>
      <c r="L28" s="470"/>
      <c r="M28" s="470"/>
      <c r="N28" s="470"/>
      <c r="O28" s="470"/>
      <c r="P28" s="470"/>
      <c r="Q28" s="470"/>
      <c r="R28" s="470"/>
      <c r="S28" s="470"/>
    </row>
    <row r="29" spans="1:19" ht="15" x14ac:dyDescent="0.25">
      <c r="A29" s="648">
        <f t="shared" si="0"/>
        <v>18</v>
      </c>
      <c r="B29" s="654" t="s">
        <v>397</v>
      </c>
      <c r="C29" s="654" t="s">
        <v>729</v>
      </c>
      <c r="D29" s="651" t="s">
        <v>332</v>
      </c>
      <c r="E29" s="655">
        <v>36</v>
      </c>
      <c r="F29" s="655">
        <v>36</v>
      </c>
      <c r="G29" s="655">
        <v>36</v>
      </c>
      <c r="H29" s="655">
        <v>36</v>
      </c>
    </row>
    <row r="30" spans="1:19" ht="27" customHeight="1" x14ac:dyDescent="0.25">
      <c r="A30" s="648">
        <f t="shared" si="0"/>
        <v>19</v>
      </c>
      <c r="B30" s="466"/>
      <c r="C30" s="665" t="s">
        <v>730</v>
      </c>
      <c r="D30" s="662" t="s">
        <v>332</v>
      </c>
      <c r="E30" s="664">
        <v>15</v>
      </c>
      <c r="F30" s="664">
        <v>15</v>
      </c>
      <c r="G30" s="664">
        <v>15</v>
      </c>
      <c r="H30" s="664">
        <v>15</v>
      </c>
    </row>
    <row r="31" spans="1:19" ht="35.25" customHeight="1" x14ac:dyDescent="0.25">
      <c r="A31" s="648">
        <f t="shared" si="0"/>
        <v>20</v>
      </c>
      <c r="B31" s="466" t="s">
        <v>403</v>
      </c>
      <c r="C31" s="665" t="s">
        <v>404</v>
      </c>
      <c r="D31" s="662">
        <v>43497</v>
      </c>
      <c r="E31" s="469">
        <v>3553</v>
      </c>
      <c r="F31" s="469">
        <v>3553</v>
      </c>
      <c r="G31" s="469">
        <v>3553</v>
      </c>
      <c r="H31" s="469">
        <v>3553</v>
      </c>
    </row>
    <row r="32" spans="1:19" ht="30.75" customHeight="1" x14ac:dyDescent="0.25">
      <c r="A32" s="648">
        <f t="shared" si="0"/>
        <v>21</v>
      </c>
      <c r="B32" s="466" t="s">
        <v>731</v>
      </c>
      <c r="C32" s="665" t="s">
        <v>1062</v>
      </c>
      <c r="D32" s="662" t="s">
        <v>332</v>
      </c>
      <c r="E32" s="469">
        <v>1920</v>
      </c>
      <c r="F32" s="469">
        <v>1920</v>
      </c>
      <c r="G32" s="469">
        <v>1920</v>
      </c>
      <c r="H32" s="469">
        <v>1920</v>
      </c>
    </row>
    <row r="33" spans="1:19" s="666" customFormat="1" ht="27.75" customHeight="1" x14ac:dyDescent="0.25">
      <c r="A33" s="648">
        <f t="shared" si="0"/>
        <v>22</v>
      </c>
      <c r="B33" s="466" t="s">
        <v>731</v>
      </c>
      <c r="C33" s="665" t="s">
        <v>1063</v>
      </c>
      <c r="D33" s="662" t="s">
        <v>332</v>
      </c>
      <c r="E33" s="469">
        <v>1800</v>
      </c>
      <c r="F33" s="469">
        <v>1800</v>
      </c>
      <c r="G33" s="469">
        <v>1800</v>
      </c>
      <c r="H33" s="469">
        <v>1800</v>
      </c>
      <c r="I33" s="470"/>
      <c r="J33" s="470"/>
      <c r="K33" s="470"/>
      <c r="L33" s="470"/>
      <c r="M33" s="470"/>
      <c r="N33" s="470"/>
      <c r="O33" s="470"/>
      <c r="P33" s="470"/>
      <c r="Q33" s="470"/>
      <c r="R33" s="470"/>
      <c r="S33" s="470"/>
    </row>
    <row r="34" spans="1:19" ht="27.75" customHeight="1" x14ac:dyDescent="0.25">
      <c r="A34" s="648">
        <f t="shared" si="0"/>
        <v>23</v>
      </c>
      <c r="B34" s="466" t="s">
        <v>732</v>
      </c>
      <c r="C34" s="665" t="s">
        <v>733</v>
      </c>
      <c r="D34" s="662" t="s">
        <v>332</v>
      </c>
      <c r="E34" s="469">
        <v>30</v>
      </c>
      <c r="F34" s="469">
        <v>30</v>
      </c>
      <c r="G34" s="469">
        <v>30</v>
      </c>
      <c r="H34" s="469">
        <v>30</v>
      </c>
    </row>
    <row r="35" spans="1:19" ht="21.75" customHeight="1" x14ac:dyDescent="0.25">
      <c r="A35" s="648">
        <f t="shared" si="0"/>
        <v>24</v>
      </c>
      <c r="B35" s="466" t="s">
        <v>734</v>
      </c>
      <c r="C35" s="665" t="s">
        <v>735</v>
      </c>
      <c r="D35" s="662">
        <v>44196</v>
      </c>
      <c r="E35" s="469">
        <v>153</v>
      </c>
      <c r="F35" s="469">
        <v>153</v>
      </c>
      <c r="G35" s="469">
        <v>153</v>
      </c>
      <c r="H35" s="469">
        <v>153</v>
      </c>
    </row>
    <row r="36" spans="1:19" ht="24.75" customHeight="1" x14ac:dyDescent="0.25">
      <c r="A36" s="648">
        <f t="shared" si="0"/>
        <v>25</v>
      </c>
      <c r="B36" s="466" t="s">
        <v>736</v>
      </c>
      <c r="C36" s="665" t="s">
        <v>737</v>
      </c>
      <c r="D36" s="662" t="s">
        <v>332</v>
      </c>
      <c r="E36" s="469">
        <v>457</v>
      </c>
      <c r="F36" s="469">
        <v>457</v>
      </c>
      <c r="G36" s="469">
        <v>457</v>
      </c>
      <c r="H36" s="469">
        <v>457</v>
      </c>
    </row>
    <row r="37" spans="1:19" ht="28.5" customHeight="1" x14ac:dyDescent="0.25">
      <c r="A37" s="648">
        <f t="shared" si="0"/>
        <v>26</v>
      </c>
      <c r="B37" s="466" t="s">
        <v>738</v>
      </c>
      <c r="C37" s="665" t="s">
        <v>934</v>
      </c>
      <c r="D37" s="662" t="s">
        <v>332</v>
      </c>
      <c r="E37" s="469">
        <v>198</v>
      </c>
      <c r="F37" s="469">
        <v>198</v>
      </c>
      <c r="G37" s="469">
        <v>198</v>
      </c>
      <c r="H37" s="469">
        <v>198</v>
      </c>
    </row>
    <row r="38" spans="1:19" ht="36" customHeight="1" x14ac:dyDescent="0.25">
      <c r="A38" s="648">
        <f t="shared" si="0"/>
        <v>27</v>
      </c>
      <c r="B38" s="466" t="s">
        <v>739</v>
      </c>
      <c r="C38" s="665" t="s">
        <v>740</v>
      </c>
      <c r="D38" s="662" t="s">
        <v>332</v>
      </c>
      <c r="E38" s="469">
        <v>217</v>
      </c>
      <c r="F38" s="469">
        <v>217</v>
      </c>
      <c r="G38" s="469">
        <v>217</v>
      </c>
      <c r="H38" s="469">
        <v>217</v>
      </c>
    </row>
    <row r="39" spans="1:19" ht="26.25" customHeight="1" x14ac:dyDescent="0.25">
      <c r="A39" s="648">
        <f t="shared" si="0"/>
        <v>28</v>
      </c>
      <c r="B39" s="466" t="s">
        <v>121</v>
      </c>
      <c r="C39" s="665" t="s">
        <v>741</v>
      </c>
      <c r="D39" s="662" t="s">
        <v>332</v>
      </c>
      <c r="E39" s="469">
        <v>1200</v>
      </c>
      <c r="F39" s="469">
        <v>1200</v>
      </c>
      <c r="G39" s="469">
        <v>1200</v>
      </c>
      <c r="H39" s="469">
        <v>1200</v>
      </c>
    </row>
    <row r="40" spans="1:19" ht="30.75" customHeight="1" x14ac:dyDescent="0.25">
      <c r="A40" s="648">
        <f t="shared" si="0"/>
        <v>29</v>
      </c>
      <c r="B40" s="466" t="s">
        <v>742</v>
      </c>
      <c r="C40" s="665" t="s">
        <v>743</v>
      </c>
      <c r="D40" s="662">
        <v>43709</v>
      </c>
      <c r="E40" s="469">
        <v>2439</v>
      </c>
      <c r="F40" s="469">
        <v>2439</v>
      </c>
      <c r="G40" s="469">
        <v>2439</v>
      </c>
      <c r="H40" s="469">
        <v>2439</v>
      </c>
    </row>
    <row r="41" spans="1:19" ht="36" customHeight="1" x14ac:dyDescent="0.25">
      <c r="A41" s="648">
        <f t="shared" si="0"/>
        <v>30</v>
      </c>
      <c r="B41" s="667" t="s">
        <v>744</v>
      </c>
      <c r="C41" s="665" t="s">
        <v>745</v>
      </c>
      <c r="D41" s="662" t="s">
        <v>332</v>
      </c>
      <c r="E41" s="468">
        <v>508</v>
      </c>
      <c r="F41" s="468">
        <v>508</v>
      </c>
      <c r="G41" s="468">
        <v>508</v>
      </c>
      <c r="H41" s="468">
        <v>508</v>
      </c>
    </row>
    <row r="42" spans="1:19" ht="30" customHeight="1" x14ac:dyDescent="0.25">
      <c r="A42" s="648">
        <f t="shared" si="0"/>
        <v>31</v>
      </c>
      <c r="B42" s="667"/>
      <c r="C42" s="665" t="s">
        <v>746</v>
      </c>
      <c r="D42" s="662" t="s">
        <v>332</v>
      </c>
      <c r="E42" s="468">
        <v>230</v>
      </c>
      <c r="F42" s="468">
        <v>230</v>
      </c>
      <c r="G42" s="468">
        <v>230</v>
      </c>
      <c r="H42" s="468">
        <v>230</v>
      </c>
    </row>
    <row r="43" spans="1:19" ht="15" x14ac:dyDescent="0.25">
      <c r="A43" s="648">
        <v>32</v>
      </c>
      <c r="B43" s="466" t="s">
        <v>1064</v>
      </c>
      <c r="C43" s="466" t="s">
        <v>747</v>
      </c>
      <c r="D43" s="662">
        <v>43251</v>
      </c>
      <c r="E43" s="468">
        <v>302</v>
      </c>
      <c r="F43" s="468">
        <v>302</v>
      </c>
      <c r="G43" s="468">
        <v>302</v>
      </c>
      <c r="H43" s="468">
        <v>302</v>
      </c>
    </row>
    <row r="44" spans="1:19" ht="15" x14ac:dyDescent="0.25">
      <c r="A44" s="648">
        <v>33</v>
      </c>
      <c r="B44" s="466" t="s">
        <v>748</v>
      </c>
      <c r="C44" s="466" t="s">
        <v>749</v>
      </c>
      <c r="D44" s="662" t="s">
        <v>1065</v>
      </c>
      <c r="E44" s="468">
        <v>10672</v>
      </c>
      <c r="F44" s="468">
        <v>10672</v>
      </c>
      <c r="G44" s="468">
        <v>10672</v>
      </c>
      <c r="H44" s="468"/>
    </row>
    <row r="45" spans="1:19" ht="15" x14ac:dyDescent="0.25">
      <c r="A45" s="648">
        <f t="shared" si="0"/>
        <v>34</v>
      </c>
      <c r="B45" s="466" t="s">
        <v>750</v>
      </c>
      <c r="C45" s="466" t="s">
        <v>751</v>
      </c>
      <c r="D45" s="662" t="s">
        <v>332</v>
      </c>
      <c r="E45" s="468">
        <v>5760</v>
      </c>
      <c r="F45" s="468">
        <v>5760</v>
      </c>
      <c r="G45" s="468">
        <v>5760</v>
      </c>
      <c r="H45" s="468">
        <v>5760</v>
      </c>
    </row>
    <row r="46" spans="1:19" ht="15" x14ac:dyDescent="0.25">
      <c r="A46" s="648">
        <f t="shared" si="0"/>
        <v>35</v>
      </c>
      <c r="B46" s="466" t="s">
        <v>752</v>
      </c>
      <c r="C46" s="466" t="s">
        <v>753</v>
      </c>
      <c r="D46" s="662" t="s">
        <v>332</v>
      </c>
      <c r="E46" s="468">
        <v>3658</v>
      </c>
      <c r="F46" s="468">
        <v>3658</v>
      </c>
      <c r="G46" s="468">
        <v>3658</v>
      </c>
      <c r="H46" s="468">
        <v>3658</v>
      </c>
    </row>
    <row r="47" spans="1:19" ht="15" x14ac:dyDescent="0.25">
      <c r="A47" s="648">
        <f t="shared" si="0"/>
        <v>36</v>
      </c>
      <c r="B47" s="466" t="s">
        <v>109</v>
      </c>
      <c r="C47" s="466" t="s">
        <v>755</v>
      </c>
      <c r="D47" s="662" t="s">
        <v>332</v>
      </c>
      <c r="E47" s="468">
        <v>242</v>
      </c>
      <c r="F47" s="468">
        <v>242</v>
      </c>
      <c r="G47" s="468">
        <v>242</v>
      </c>
      <c r="H47" s="468">
        <v>242</v>
      </c>
    </row>
    <row r="48" spans="1:19" ht="15" x14ac:dyDescent="0.25">
      <c r="A48" s="648">
        <f t="shared" si="0"/>
        <v>37</v>
      </c>
      <c r="B48" s="466" t="s">
        <v>756</v>
      </c>
      <c r="C48" s="466" t="s">
        <v>757</v>
      </c>
      <c r="D48" s="662" t="s">
        <v>332</v>
      </c>
      <c r="E48" s="468">
        <v>993</v>
      </c>
      <c r="F48" s="468">
        <v>993</v>
      </c>
      <c r="G48" s="468">
        <v>993</v>
      </c>
      <c r="H48" s="468">
        <v>993</v>
      </c>
    </row>
    <row r="49" spans="1:11" ht="30" x14ac:dyDescent="0.25">
      <c r="A49" s="648">
        <f t="shared" si="0"/>
        <v>38</v>
      </c>
      <c r="B49" s="667" t="s">
        <v>758</v>
      </c>
      <c r="C49" s="665" t="s">
        <v>759</v>
      </c>
      <c r="D49" s="662" t="s">
        <v>332</v>
      </c>
      <c r="E49" s="468">
        <v>38</v>
      </c>
      <c r="F49" s="468">
        <v>38</v>
      </c>
      <c r="G49" s="468">
        <v>38</v>
      </c>
      <c r="H49" s="468">
        <v>38</v>
      </c>
    </row>
    <row r="50" spans="1:11" ht="15" customHeight="1" x14ac:dyDescent="0.25">
      <c r="A50" s="648">
        <f t="shared" si="0"/>
        <v>39</v>
      </c>
      <c r="B50" s="466"/>
      <c r="C50" s="466" t="s">
        <v>760</v>
      </c>
      <c r="D50" s="662" t="s">
        <v>332</v>
      </c>
      <c r="E50" s="468">
        <v>45</v>
      </c>
      <c r="F50" s="468">
        <v>45</v>
      </c>
      <c r="G50" s="468">
        <v>45</v>
      </c>
      <c r="H50" s="468">
        <v>45</v>
      </c>
    </row>
    <row r="51" spans="1:11" ht="15" x14ac:dyDescent="0.25">
      <c r="A51" s="648">
        <f t="shared" si="0"/>
        <v>40</v>
      </c>
      <c r="B51" s="466" t="s">
        <v>1066</v>
      </c>
      <c r="C51" s="466" t="s">
        <v>761</v>
      </c>
      <c r="D51" s="662">
        <v>43190</v>
      </c>
      <c r="E51" s="468">
        <v>610</v>
      </c>
      <c r="F51" s="468">
        <v>610</v>
      </c>
      <c r="G51" s="468">
        <v>610</v>
      </c>
      <c r="H51" s="468">
        <v>610</v>
      </c>
    </row>
    <row r="52" spans="1:11" ht="15" x14ac:dyDescent="0.25">
      <c r="A52" s="648">
        <f t="shared" si="0"/>
        <v>41</v>
      </c>
      <c r="B52" s="466" t="s">
        <v>1067</v>
      </c>
      <c r="C52" s="466" t="s">
        <v>762</v>
      </c>
      <c r="D52" s="662">
        <v>43190</v>
      </c>
      <c r="E52" s="468">
        <v>610</v>
      </c>
      <c r="F52" s="468">
        <v>610</v>
      </c>
      <c r="G52" s="468">
        <v>610</v>
      </c>
      <c r="H52" s="468">
        <v>610</v>
      </c>
    </row>
    <row r="53" spans="1:11" ht="15" x14ac:dyDescent="0.25">
      <c r="A53" s="648">
        <f t="shared" si="0"/>
        <v>42</v>
      </c>
      <c r="B53" s="466" t="s">
        <v>763</v>
      </c>
      <c r="C53" s="466" t="s">
        <v>764</v>
      </c>
      <c r="D53" s="662">
        <v>42825</v>
      </c>
      <c r="E53" s="468">
        <v>210</v>
      </c>
      <c r="F53" s="468">
        <v>210</v>
      </c>
      <c r="G53" s="468">
        <v>210</v>
      </c>
      <c r="H53" s="468">
        <v>210</v>
      </c>
    </row>
    <row r="54" spans="1:11" ht="15" x14ac:dyDescent="0.25">
      <c r="A54" s="648">
        <f t="shared" si="0"/>
        <v>43</v>
      </c>
      <c r="B54" s="466" t="s">
        <v>765</v>
      </c>
      <c r="C54" s="466" t="s">
        <v>766</v>
      </c>
      <c r="D54" s="662">
        <v>42855</v>
      </c>
      <c r="E54" s="468">
        <v>972</v>
      </c>
      <c r="F54" s="468">
        <v>972</v>
      </c>
      <c r="G54" s="468">
        <v>972</v>
      </c>
      <c r="H54" s="468">
        <v>972</v>
      </c>
    </row>
    <row r="55" spans="1:11" ht="15" x14ac:dyDescent="0.25">
      <c r="A55" s="648">
        <f t="shared" si="0"/>
        <v>44</v>
      </c>
      <c r="B55" s="466" t="s">
        <v>754</v>
      </c>
      <c r="C55" s="466" t="s">
        <v>767</v>
      </c>
      <c r="D55" s="662" t="s">
        <v>332</v>
      </c>
      <c r="E55" s="468">
        <v>486</v>
      </c>
      <c r="F55" s="468">
        <v>486</v>
      </c>
      <c r="G55" s="468">
        <v>486</v>
      </c>
      <c r="H55" s="468">
        <v>486</v>
      </c>
    </row>
    <row r="56" spans="1:11" ht="15.75" x14ac:dyDescent="0.25">
      <c r="A56" s="648">
        <v>45</v>
      </c>
      <c r="B56" s="668"/>
      <c r="C56" s="466" t="s">
        <v>768</v>
      </c>
      <c r="D56" s="669" t="s">
        <v>332</v>
      </c>
      <c r="E56" s="468">
        <v>175</v>
      </c>
      <c r="F56" s="468">
        <v>175</v>
      </c>
      <c r="G56" s="468">
        <v>175</v>
      </c>
      <c r="H56" s="468">
        <v>175</v>
      </c>
    </row>
    <row r="57" spans="1:11" ht="15.75" x14ac:dyDescent="0.25">
      <c r="A57" s="648">
        <f t="shared" si="0"/>
        <v>46</v>
      </c>
      <c r="B57" s="668"/>
      <c r="C57" s="466" t="s">
        <v>769</v>
      </c>
      <c r="D57" s="669" t="s">
        <v>332</v>
      </c>
      <c r="E57" s="468">
        <v>55</v>
      </c>
      <c r="F57" s="468">
        <v>55</v>
      </c>
      <c r="G57" s="468">
        <v>55</v>
      </c>
      <c r="H57" s="468">
        <v>55</v>
      </c>
    </row>
    <row r="58" spans="1:11" ht="15" x14ac:dyDescent="0.25">
      <c r="A58" s="648">
        <f t="shared" si="0"/>
        <v>47</v>
      </c>
      <c r="B58" s="668"/>
      <c r="C58" s="466" t="s">
        <v>770</v>
      </c>
      <c r="D58" s="670">
        <v>45291</v>
      </c>
      <c r="E58" s="468">
        <v>19500</v>
      </c>
      <c r="F58" s="468">
        <v>19500</v>
      </c>
      <c r="G58" s="468">
        <v>19500</v>
      </c>
      <c r="H58" s="468">
        <v>19500</v>
      </c>
    </row>
    <row r="59" spans="1:11" ht="15.75" x14ac:dyDescent="0.25">
      <c r="A59" s="648">
        <f t="shared" si="0"/>
        <v>48</v>
      </c>
      <c r="B59" s="668"/>
      <c r="C59" s="466" t="s">
        <v>771</v>
      </c>
      <c r="D59" s="669" t="s">
        <v>332</v>
      </c>
      <c r="E59" s="468">
        <v>37</v>
      </c>
      <c r="F59" s="468">
        <v>37</v>
      </c>
      <c r="G59" s="468">
        <v>37</v>
      </c>
      <c r="H59" s="468">
        <v>37</v>
      </c>
    </row>
    <row r="60" spans="1:11" ht="15.75" x14ac:dyDescent="0.25">
      <c r="A60" s="648">
        <f t="shared" si="0"/>
        <v>49</v>
      </c>
      <c r="B60" s="668"/>
      <c r="C60" s="466" t="s">
        <v>772</v>
      </c>
      <c r="D60" s="669" t="s">
        <v>332</v>
      </c>
      <c r="E60" s="468">
        <v>53</v>
      </c>
      <c r="F60" s="468">
        <v>53</v>
      </c>
      <c r="G60" s="468">
        <v>53</v>
      </c>
      <c r="H60" s="468">
        <v>53</v>
      </c>
      <c r="K60" s="468"/>
    </row>
    <row r="61" spans="1:11" ht="15.75" x14ac:dyDescent="0.25">
      <c r="A61" s="648">
        <f t="shared" si="0"/>
        <v>50</v>
      </c>
      <c r="B61" s="668"/>
      <c r="C61" s="466" t="s">
        <v>773</v>
      </c>
      <c r="D61" s="669" t="s">
        <v>332</v>
      </c>
      <c r="E61" s="468">
        <v>104</v>
      </c>
      <c r="F61" s="468">
        <v>104</v>
      </c>
      <c r="G61" s="468">
        <v>104</v>
      </c>
      <c r="H61" s="468">
        <v>104</v>
      </c>
    </row>
    <row r="62" spans="1:11" ht="15.75" x14ac:dyDescent="0.25">
      <c r="A62" s="648">
        <f t="shared" si="0"/>
        <v>51</v>
      </c>
      <c r="B62" s="668"/>
      <c r="C62" s="466" t="s">
        <v>774</v>
      </c>
      <c r="D62" s="669" t="s">
        <v>332</v>
      </c>
      <c r="E62" s="468">
        <v>192</v>
      </c>
      <c r="F62" s="468">
        <v>192</v>
      </c>
      <c r="G62" s="468">
        <v>192</v>
      </c>
      <c r="H62" s="468">
        <v>192</v>
      </c>
    </row>
    <row r="63" spans="1:11" ht="15.75" x14ac:dyDescent="0.25">
      <c r="A63" s="648">
        <f t="shared" si="0"/>
        <v>52</v>
      </c>
      <c r="B63" s="668"/>
      <c r="C63" s="466" t="s">
        <v>775</v>
      </c>
      <c r="D63" s="669" t="s">
        <v>332</v>
      </c>
      <c r="E63" s="468">
        <v>134</v>
      </c>
      <c r="F63" s="468">
        <v>134</v>
      </c>
      <c r="G63" s="468">
        <v>134</v>
      </c>
      <c r="H63" s="468">
        <v>134</v>
      </c>
    </row>
    <row r="64" spans="1:11" ht="15.75" x14ac:dyDescent="0.25">
      <c r="A64" s="648">
        <f t="shared" si="0"/>
        <v>53</v>
      </c>
      <c r="B64" s="668"/>
      <c r="C64" s="466" t="s">
        <v>776</v>
      </c>
      <c r="D64" s="669" t="s">
        <v>332</v>
      </c>
      <c r="E64" s="468">
        <v>159</v>
      </c>
      <c r="F64" s="468">
        <v>159</v>
      </c>
      <c r="G64" s="468">
        <v>159</v>
      </c>
      <c r="H64" s="468">
        <v>159</v>
      </c>
    </row>
    <row r="65" spans="1:11" ht="15" x14ac:dyDescent="0.25">
      <c r="A65" s="648">
        <f t="shared" si="0"/>
        <v>54</v>
      </c>
      <c r="B65" s="671">
        <v>68360</v>
      </c>
      <c r="C65" s="466" t="s">
        <v>936</v>
      </c>
      <c r="D65" s="672" t="s">
        <v>332</v>
      </c>
      <c r="E65" s="468">
        <v>1844</v>
      </c>
      <c r="F65" s="468">
        <v>1844</v>
      </c>
      <c r="G65" s="468">
        <v>1844</v>
      </c>
      <c r="H65" s="468">
        <v>1844</v>
      </c>
    </row>
    <row r="66" spans="1:11" ht="15" x14ac:dyDescent="0.25">
      <c r="A66" s="648">
        <f t="shared" si="0"/>
        <v>55</v>
      </c>
      <c r="B66" s="673" t="s">
        <v>886</v>
      </c>
      <c r="C66" s="466" t="s">
        <v>887</v>
      </c>
      <c r="D66" s="670">
        <v>43465</v>
      </c>
      <c r="E66" s="468">
        <v>21000</v>
      </c>
      <c r="F66" s="468">
        <v>21000</v>
      </c>
      <c r="G66" s="468">
        <v>21000</v>
      </c>
      <c r="H66" s="468">
        <v>21000</v>
      </c>
    </row>
    <row r="67" spans="1:11" ht="15" x14ac:dyDescent="0.25">
      <c r="A67" s="648">
        <f t="shared" si="0"/>
        <v>56</v>
      </c>
      <c r="B67" s="673" t="s">
        <v>888</v>
      </c>
      <c r="C67" s="466" t="s">
        <v>889</v>
      </c>
      <c r="D67" s="672" t="s">
        <v>332</v>
      </c>
      <c r="E67" s="468">
        <v>31000</v>
      </c>
      <c r="F67" s="468">
        <v>31000</v>
      </c>
      <c r="G67" s="468">
        <v>31000</v>
      </c>
      <c r="H67" s="468">
        <v>31000</v>
      </c>
      <c r="I67" s="584"/>
    </row>
    <row r="68" spans="1:11" ht="15" x14ac:dyDescent="0.25">
      <c r="A68" s="648">
        <f t="shared" si="0"/>
        <v>57</v>
      </c>
      <c r="B68" s="674"/>
      <c r="C68" s="466" t="s">
        <v>890</v>
      </c>
      <c r="D68" s="672" t="s">
        <v>332</v>
      </c>
      <c r="E68" s="468">
        <v>732</v>
      </c>
      <c r="F68" s="468">
        <v>732</v>
      </c>
      <c r="G68" s="468">
        <v>732</v>
      </c>
      <c r="H68" s="468">
        <v>732</v>
      </c>
      <c r="I68" s="584"/>
    </row>
    <row r="69" spans="1:11" ht="15" x14ac:dyDescent="0.25">
      <c r="A69" s="648">
        <v>61</v>
      </c>
      <c r="B69" s="673" t="s">
        <v>953</v>
      </c>
      <c r="C69" s="466" t="s">
        <v>954</v>
      </c>
      <c r="D69" s="672" t="s">
        <v>332</v>
      </c>
      <c r="E69" s="468">
        <v>3277</v>
      </c>
      <c r="F69" s="468">
        <v>3277</v>
      </c>
      <c r="G69" s="468">
        <v>3277</v>
      </c>
      <c r="H69" s="468">
        <v>3277</v>
      </c>
      <c r="I69" s="584"/>
    </row>
    <row r="70" spans="1:11" ht="30" x14ac:dyDescent="0.25">
      <c r="A70" s="648">
        <v>62</v>
      </c>
      <c r="B70" s="673" t="s">
        <v>1068</v>
      </c>
      <c r="C70" s="534" t="s">
        <v>1069</v>
      </c>
      <c r="D70" s="672" t="s">
        <v>332</v>
      </c>
      <c r="E70" s="468">
        <v>600</v>
      </c>
      <c r="F70" s="468">
        <v>600</v>
      </c>
      <c r="G70" s="468">
        <v>600</v>
      </c>
      <c r="H70" s="468">
        <v>600</v>
      </c>
      <c r="I70" s="584"/>
      <c r="J70" s="584"/>
      <c r="K70" s="584"/>
    </row>
    <row r="71" spans="1:11" ht="15" x14ac:dyDescent="0.25">
      <c r="A71" s="648">
        <v>63</v>
      </c>
      <c r="B71" s="673" t="s">
        <v>1070</v>
      </c>
      <c r="C71" s="466" t="s">
        <v>1071</v>
      </c>
      <c r="D71" s="672" t="s">
        <v>332</v>
      </c>
      <c r="E71" s="468">
        <v>283</v>
      </c>
      <c r="F71" s="468">
        <v>283</v>
      </c>
      <c r="G71" s="468">
        <v>283</v>
      </c>
      <c r="H71" s="468">
        <v>283</v>
      </c>
      <c r="I71" s="675"/>
      <c r="J71" s="675"/>
      <c r="K71" s="675"/>
    </row>
    <row r="72" spans="1:11" ht="15" x14ac:dyDescent="0.25">
      <c r="A72" s="648">
        <v>64</v>
      </c>
      <c r="B72" s="673" t="s">
        <v>1072</v>
      </c>
      <c r="C72" s="466" t="s">
        <v>1073</v>
      </c>
      <c r="D72" s="670">
        <v>46727</v>
      </c>
      <c r="E72" s="468"/>
      <c r="F72" s="468"/>
      <c r="G72" s="468">
        <v>155396</v>
      </c>
      <c r="H72" s="468">
        <v>155396</v>
      </c>
      <c r="I72" s="675"/>
      <c r="J72" s="675"/>
      <c r="K72" s="675"/>
    </row>
    <row r="73" spans="1:11" ht="15" x14ac:dyDescent="0.25">
      <c r="A73" s="648">
        <v>65</v>
      </c>
      <c r="B73" s="673" t="s">
        <v>1074</v>
      </c>
      <c r="C73" s="466" t="s">
        <v>1075</v>
      </c>
      <c r="D73" s="670" t="s">
        <v>332</v>
      </c>
      <c r="E73" s="468">
        <v>3000</v>
      </c>
      <c r="F73" s="468">
        <v>3000</v>
      </c>
      <c r="G73" s="468">
        <v>3000</v>
      </c>
      <c r="H73" s="468">
        <v>3000</v>
      </c>
      <c r="I73" s="675"/>
      <c r="J73" s="675"/>
      <c r="K73" s="675"/>
    </row>
    <row r="74" spans="1:11" ht="15" x14ac:dyDescent="0.25">
      <c r="A74" s="648">
        <v>66</v>
      </c>
      <c r="B74" s="673" t="s">
        <v>1076</v>
      </c>
      <c r="C74" s="466" t="s">
        <v>1077</v>
      </c>
      <c r="D74" s="670">
        <v>44105</v>
      </c>
      <c r="E74" s="468">
        <v>350</v>
      </c>
      <c r="F74" s="468">
        <v>350</v>
      </c>
      <c r="G74" s="468">
        <v>263</v>
      </c>
      <c r="H74" s="468">
        <v>0</v>
      </c>
      <c r="I74" s="675"/>
      <c r="J74" s="675"/>
      <c r="K74" s="675"/>
    </row>
    <row r="75" spans="1:11" ht="15.75" x14ac:dyDescent="0.25">
      <c r="A75" s="648"/>
      <c r="B75" s="668"/>
      <c r="C75" s="668"/>
      <c r="D75" s="676"/>
      <c r="E75" s="677">
        <f>SUM(E11:E74)</f>
        <v>186649</v>
      </c>
      <c r="F75" s="678">
        <f>SUM(F12:F74)</f>
        <v>186649</v>
      </c>
      <c r="G75" s="678">
        <f>SUM(G12:G74)</f>
        <v>341958</v>
      </c>
      <c r="H75" s="678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87" customWidth="1"/>
    <col min="2" max="2" width="27.7109375" style="299" customWidth="1"/>
    <col min="3" max="3" width="47.85546875" style="299" customWidth="1"/>
    <col min="4" max="4" width="9.140625" style="288"/>
    <col min="5" max="5" width="8.7109375" style="299" bestFit="1" customWidth="1"/>
    <col min="6" max="6" width="8.42578125" style="299" bestFit="1" customWidth="1"/>
    <col min="7" max="7" width="8.7109375" style="299" customWidth="1"/>
    <col min="8" max="8" width="8.85546875" style="299" customWidth="1"/>
    <col min="9" max="9" width="9.140625" style="299"/>
    <col min="10" max="16384" width="9.140625" style="290"/>
  </cols>
  <sheetData>
    <row r="1" spans="1:11" ht="14.1" customHeight="1" x14ac:dyDescent="0.25">
      <c r="C1" s="1682" t="s">
        <v>159</v>
      </c>
      <c r="D1" s="1682"/>
      <c r="E1" s="1682"/>
      <c r="F1" s="1682"/>
      <c r="G1" s="1682"/>
      <c r="H1" s="1682"/>
    </row>
    <row r="2" spans="1:11" ht="20.100000000000001" customHeight="1" x14ac:dyDescent="0.25">
      <c r="A2" s="1665" t="s">
        <v>316</v>
      </c>
      <c r="B2" s="1683"/>
      <c r="C2" s="1683"/>
      <c r="D2" s="1683"/>
      <c r="E2" s="1683"/>
      <c r="F2" s="1683"/>
      <c r="G2" s="1683"/>
      <c r="H2" s="1683"/>
    </row>
    <row r="3" spans="1:11" ht="14.1" customHeight="1" x14ac:dyDescent="0.25">
      <c r="A3" s="1665" t="s">
        <v>317</v>
      </c>
      <c r="B3" s="1683"/>
      <c r="C3" s="1683"/>
      <c r="D3" s="1683"/>
      <c r="E3" s="1683"/>
      <c r="F3" s="1683"/>
      <c r="G3" s="1683"/>
      <c r="H3" s="1683"/>
    </row>
    <row r="4" spans="1:11" ht="14.1" customHeight="1" x14ac:dyDescent="0.25">
      <c r="A4" s="1666" t="s">
        <v>55</v>
      </c>
      <c r="B4" s="1684"/>
      <c r="C4" s="1684"/>
      <c r="D4" s="1684"/>
      <c r="E4" s="1684"/>
      <c r="F4" s="1684"/>
      <c r="G4" s="1684"/>
      <c r="H4" s="1684"/>
    </row>
    <row r="5" spans="1:11" ht="14.1" customHeight="1" x14ac:dyDescent="0.25">
      <c r="A5" s="286"/>
      <c r="B5" s="287"/>
      <c r="C5" s="287"/>
      <c r="D5" s="287"/>
      <c r="E5" s="287"/>
      <c r="F5" s="287"/>
      <c r="G5" s="287"/>
      <c r="H5" s="287"/>
    </row>
    <row r="6" spans="1:11" ht="14.1" customHeight="1" x14ac:dyDescent="0.25">
      <c r="A6" s="1674"/>
      <c r="B6" s="289" t="s">
        <v>57</v>
      </c>
      <c r="C6" s="289" t="s">
        <v>58</v>
      </c>
      <c r="D6" s="289" t="s">
        <v>59</v>
      </c>
      <c r="E6" s="289" t="s">
        <v>60</v>
      </c>
      <c r="F6" s="289" t="s">
        <v>470</v>
      </c>
      <c r="G6" s="289" t="s">
        <v>471</v>
      </c>
      <c r="H6" s="289" t="s">
        <v>472</v>
      </c>
      <c r="I6" s="289" t="s">
        <v>592</v>
      </c>
    </row>
    <row r="7" spans="1:11" s="329" customFormat="1" ht="13.5" customHeight="1" x14ac:dyDescent="0.25">
      <c r="A7" s="1674"/>
      <c r="B7" s="1681" t="s">
        <v>318</v>
      </c>
      <c r="C7" s="1685" t="s">
        <v>319</v>
      </c>
      <c r="D7" s="1685" t="s">
        <v>320</v>
      </c>
      <c r="E7" s="1679" t="s">
        <v>321</v>
      </c>
      <c r="F7" s="1680"/>
      <c r="G7" s="1680"/>
      <c r="H7" s="1680"/>
      <c r="I7" s="1681"/>
      <c r="J7" s="328"/>
      <c r="K7" s="328"/>
    </row>
    <row r="8" spans="1:11" s="329" customFormat="1" ht="13.5" customHeight="1" x14ac:dyDescent="0.25">
      <c r="A8" s="1674"/>
      <c r="B8" s="1681"/>
      <c r="C8" s="1685"/>
      <c r="D8" s="1685"/>
      <c r="E8" s="330" t="s">
        <v>322</v>
      </c>
      <c r="F8" s="330" t="s">
        <v>323</v>
      </c>
      <c r="G8" s="330" t="s">
        <v>324</v>
      </c>
      <c r="H8" s="331" t="s">
        <v>325</v>
      </c>
      <c r="I8" s="330" t="s">
        <v>156</v>
      </c>
      <c r="J8" s="332"/>
      <c r="K8" s="332"/>
    </row>
    <row r="9" spans="1:11" s="329" customFormat="1" ht="13.5" customHeight="1" x14ac:dyDescent="0.25">
      <c r="A9" s="297" t="s">
        <v>479</v>
      </c>
      <c r="B9" s="333" t="s">
        <v>326</v>
      </c>
      <c r="C9" s="334"/>
      <c r="D9" s="335"/>
      <c r="E9" s="334"/>
      <c r="F9" s="334"/>
      <c r="G9" s="334"/>
      <c r="H9" s="334"/>
      <c r="I9" s="285"/>
    </row>
    <row r="10" spans="1:11" ht="13.5" customHeight="1" x14ac:dyDescent="0.25">
      <c r="A10" s="297" t="s">
        <v>487</v>
      </c>
      <c r="B10" s="336" t="s">
        <v>327</v>
      </c>
    </row>
    <row r="11" spans="1:11" ht="13.5" customHeight="1" x14ac:dyDescent="0.25">
      <c r="A11" s="297" t="s">
        <v>488</v>
      </c>
      <c r="B11" s="319" t="s">
        <v>328</v>
      </c>
      <c r="C11" s="320" t="s">
        <v>329</v>
      </c>
      <c r="D11" s="321"/>
      <c r="E11" s="320"/>
      <c r="F11" s="320"/>
      <c r="G11" s="320"/>
      <c r="H11" s="320"/>
    </row>
    <row r="12" spans="1:11" ht="13.5" customHeight="1" x14ac:dyDescent="0.25">
      <c r="A12" s="297" t="s">
        <v>489</v>
      </c>
      <c r="B12" s="319" t="s">
        <v>330</v>
      </c>
      <c r="C12" s="320" t="s">
        <v>331</v>
      </c>
      <c r="D12" s="288" t="s">
        <v>332</v>
      </c>
      <c r="E12" s="322">
        <v>300</v>
      </c>
      <c r="F12" s="322">
        <v>300</v>
      </c>
      <c r="G12" s="322">
        <v>300</v>
      </c>
      <c r="H12" s="322">
        <v>300</v>
      </c>
    </row>
    <row r="13" spans="1:11" ht="13.5" customHeight="1" x14ac:dyDescent="0.25">
      <c r="A13" s="297" t="s">
        <v>490</v>
      </c>
      <c r="B13" s="298" t="s">
        <v>333</v>
      </c>
      <c r="C13" s="299" t="s">
        <v>334</v>
      </c>
      <c r="D13" s="288" t="s">
        <v>332</v>
      </c>
      <c r="E13" s="296">
        <v>100</v>
      </c>
      <c r="F13" s="296">
        <v>100</v>
      </c>
      <c r="G13" s="296">
        <v>100</v>
      </c>
      <c r="H13" s="296">
        <v>100</v>
      </c>
      <c r="I13" s="299">
        <v>100</v>
      </c>
    </row>
    <row r="14" spans="1:11" ht="13.5" customHeight="1" x14ac:dyDescent="0.25">
      <c r="A14" s="297" t="s">
        <v>491</v>
      </c>
      <c r="B14" s="298" t="s">
        <v>335</v>
      </c>
      <c r="C14" s="299" t="s">
        <v>336</v>
      </c>
      <c r="D14" s="288" t="s">
        <v>332</v>
      </c>
      <c r="E14" s="296">
        <v>24554</v>
      </c>
      <c r="F14" s="296">
        <v>19393</v>
      </c>
      <c r="G14" s="296"/>
      <c r="H14" s="296">
        <v>24241</v>
      </c>
      <c r="I14" s="299">
        <v>24250</v>
      </c>
    </row>
    <row r="15" spans="1:11" ht="13.5" customHeight="1" x14ac:dyDescent="0.25">
      <c r="A15" s="297" t="s">
        <v>492</v>
      </c>
      <c r="B15" s="298" t="s">
        <v>337</v>
      </c>
      <c r="C15" s="299" t="s">
        <v>338</v>
      </c>
      <c r="D15" s="288" t="s">
        <v>332</v>
      </c>
      <c r="E15" s="296"/>
      <c r="F15" s="296"/>
      <c r="G15" s="296"/>
      <c r="H15" s="296"/>
    </row>
    <row r="16" spans="1:11" ht="13.5" customHeight="1" x14ac:dyDescent="0.25">
      <c r="A16" s="297" t="s">
        <v>493</v>
      </c>
      <c r="B16" s="298" t="s">
        <v>339</v>
      </c>
      <c r="C16" s="299" t="s">
        <v>340</v>
      </c>
      <c r="D16" s="288" t="s">
        <v>332</v>
      </c>
      <c r="E16" s="296">
        <v>17280</v>
      </c>
      <c r="F16" s="296">
        <v>17280</v>
      </c>
      <c r="G16" s="296">
        <v>17280</v>
      </c>
      <c r="H16" s="296">
        <v>17280</v>
      </c>
      <c r="I16" s="299">
        <v>17280</v>
      </c>
    </row>
    <row r="17" spans="1:13" ht="13.5" customHeight="1" x14ac:dyDescent="0.25">
      <c r="A17" s="297" t="s">
        <v>494</v>
      </c>
      <c r="B17" s="298" t="s">
        <v>341</v>
      </c>
      <c r="C17" s="299" t="s">
        <v>342</v>
      </c>
      <c r="D17" s="288" t="s">
        <v>332</v>
      </c>
      <c r="E17" s="296">
        <v>32739</v>
      </c>
      <c r="F17" s="296">
        <v>25858</v>
      </c>
      <c r="G17" s="296"/>
      <c r="H17" s="296">
        <v>27321</v>
      </c>
      <c r="I17" s="299">
        <v>27350</v>
      </c>
    </row>
    <row r="18" spans="1:13" ht="13.5" customHeight="1" x14ac:dyDescent="0.25">
      <c r="A18" s="297" t="s">
        <v>530</v>
      </c>
      <c r="B18" s="298"/>
      <c r="C18" s="299" t="s">
        <v>343</v>
      </c>
      <c r="D18" s="288" t="s">
        <v>332</v>
      </c>
      <c r="E18" s="296"/>
      <c r="F18" s="296"/>
      <c r="G18" s="296"/>
      <c r="H18" s="296"/>
    </row>
    <row r="19" spans="1:13" ht="13.5" customHeight="1" x14ac:dyDescent="0.25">
      <c r="A19" s="297" t="s">
        <v>531</v>
      </c>
      <c r="B19" s="298"/>
      <c r="C19" s="299" t="s">
        <v>344</v>
      </c>
      <c r="D19" s="288" t="s">
        <v>332</v>
      </c>
      <c r="E19" s="296">
        <v>23050</v>
      </c>
      <c r="F19" s="296">
        <v>23050</v>
      </c>
      <c r="G19" s="296">
        <v>23050</v>
      </c>
      <c r="H19" s="296">
        <v>23050</v>
      </c>
      <c r="I19" s="299">
        <v>23050</v>
      </c>
    </row>
    <row r="20" spans="1:13" ht="18" customHeight="1" x14ac:dyDescent="0.25">
      <c r="A20" s="297" t="s">
        <v>532</v>
      </c>
      <c r="B20" s="298" t="s">
        <v>345</v>
      </c>
      <c r="C20" s="299" t="s">
        <v>346</v>
      </c>
      <c r="D20" s="288" t="s">
        <v>332</v>
      </c>
      <c r="E20" s="296">
        <v>9</v>
      </c>
      <c r="F20" s="296">
        <v>9</v>
      </c>
      <c r="G20" s="296">
        <v>9</v>
      </c>
      <c r="H20" s="296">
        <v>9</v>
      </c>
      <c r="I20" s="299">
        <v>9</v>
      </c>
    </row>
    <row r="21" spans="1:13" ht="13.5" customHeight="1" x14ac:dyDescent="0.25">
      <c r="A21" s="297" t="s">
        <v>533</v>
      </c>
      <c r="B21" s="298" t="s">
        <v>347</v>
      </c>
      <c r="C21" s="299" t="s">
        <v>348</v>
      </c>
      <c r="D21" s="288" t="s">
        <v>332</v>
      </c>
      <c r="E21" s="296">
        <v>50</v>
      </c>
      <c r="F21" s="296">
        <v>50</v>
      </c>
      <c r="G21" s="296">
        <v>50</v>
      </c>
      <c r="H21" s="296">
        <v>100</v>
      </c>
      <c r="I21" s="299">
        <v>100</v>
      </c>
    </row>
    <row r="22" spans="1:13" ht="21" customHeight="1" x14ac:dyDescent="0.25">
      <c r="A22" s="297" t="s">
        <v>534</v>
      </c>
      <c r="B22" s="298" t="s">
        <v>349</v>
      </c>
      <c r="C22" s="299" t="s">
        <v>350</v>
      </c>
      <c r="D22" s="300" t="s">
        <v>332</v>
      </c>
      <c r="E22" s="296">
        <v>875</v>
      </c>
      <c r="F22" s="296">
        <v>875</v>
      </c>
      <c r="G22" s="296">
        <v>875</v>
      </c>
      <c r="H22" s="296">
        <v>875</v>
      </c>
      <c r="I22" s="299">
        <v>875</v>
      </c>
    </row>
    <row r="23" spans="1:13" s="292" customFormat="1" ht="30" x14ac:dyDescent="0.25">
      <c r="A23" s="297" t="s">
        <v>535</v>
      </c>
      <c r="B23" s="301" t="s">
        <v>351</v>
      </c>
      <c r="C23" s="323" t="s">
        <v>352</v>
      </c>
      <c r="D23" s="303" t="s">
        <v>332</v>
      </c>
      <c r="E23" s="324">
        <v>129</v>
      </c>
      <c r="F23" s="324">
        <v>129</v>
      </c>
      <c r="G23" s="324">
        <v>129</v>
      </c>
      <c r="H23" s="324">
        <v>193</v>
      </c>
      <c r="I23" s="309">
        <v>193</v>
      </c>
      <c r="J23" s="316"/>
      <c r="K23" s="325"/>
      <c r="M23" s="326"/>
    </row>
    <row r="24" spans="1:13" ht="17.25" customHeight="1" x14ac:dyDescent="0.25">
      <c r="A24" s="297" t="s">
        <v>536</v>
      </c>
      <c r="B24" s="298" t="s">
        <v>107</v>
      </c>
      <c r="C24" s="299" t="s">
        <v>353</v>
      </c>
      <c r="D24" s="300" t="s">
        <v>332</v>
      </c>
      <c r="E24" s="296">
        <v>125</v>
      </c>
      <c r="F24" s="296">
        <v>125</v>
      </c>
      <c r="G24" s="296">
        <v>125</v>
      </c>
      <c r="H24" s="296">
        <v>147</v>
      </c>
      <c r="I24" s="299">
        <v>147</v>
      </c>
    </row>
    <row r="25" spans="1:13" ht="15.75" customHeight="1" x14ac:dyDescent="0.25">
      <c r="A25" s="297" t="s">
        <v>537</v>
      </c>
      <c r="B25" s="298"/>
      <c r="C25" s="299" t="s">
        <v>354</v>
      </c>
      <c r="D25" s="300" t="s">
        <v>332</v>
      </c>
      <c r="E25" s="296">
        <v>54</v>
      </c>
      <c r="F25" s="296">
        <v>54</v>
      </c>
      <c r="G25" s="296">
        <v>54</v>
      </c>
      <c r="H25" s="296">
        <v>54</v>
      </c>
      <c r="I25" s="299">
        <v>54</v>
      </c>
    </row>
    <row r="26" spans="1:13" ht="13.5" customHeight="1" x14ac:dyDescent="0.25">
      <c r="A26" s="297" t="s">
        <v>539</v>
      </c>
      <c r="B26" s="298" t="s">
        <v>355</v>
      </c>
      <c r="C26" s="299" t="s">
        <v>356</v>
      </c>
      <c r="D26" s="300" t="s">
        <v>332</v>
      </c>
      <c r="E26" s="296">
        <v>100</v>
      </c>
      <c r="F26" s="296">
        <v>100</v>
      </c>
      <c r="G26" s="296">
        <v>100</v>
      </c>
      <c r="H26" s="296">
        <v>100</v>
      </c>
      <c r="I26" s="299">
        <v>100</v>
      </c>
    </row>
    <row r="27" spans="1:13" ht="13.5" customHeight="1" x14ac:dyDescent="0.25">
      <c r="A27" s="297" t="s">
        <v>540</v>
      </c>
      <c r="B27" s="298" t="s">
        <v>357</v>
      </c>
      <c r="C27" s="299" t="s">
        <v>358</v>
      </c>
      <c r="D27" s="300" t="s">
        <v>332</v>
      </c>
      <c r="E27" s="296">
        <v>1575</v>
      </c>
      <c r="F27" s="296">
        <v>1575</v>
      </c>
      <c r="G27" s="296">
        <v>1575</v>
      </c>
      <c r="H27" s="296">
        <v>1575</v>
      </c>
      <c r="I27" s="299">
        <v>1575</v>
      </c>
    </row>
    <row r="28" spans="1:13" ht="13.5" customHeight="1" x14ac:dyDescent="0.25">
      <c r="A28" s="297" t="s">
        <v>541</v>
      </c>
      <c r="B28" s="298" t="s">
        <v>359</v>
      </c>
      <c r="C28" s="299" t="s">
        <v>360</v>
      </c>
      <c r="D28" s="300" t="s">
        <v>332</v>
      </c>
      <c r="E28" s="296">
        <v>60</v>
      </c>
      <c r="F28" s="296">
        <v>60</v>
      </c>
      <c r="G28" s="296">
        <v>60</v>
      </c>
      <c r="H28" s="296">
        <v>60</v>
      </c>
      <c r="I28" s="299">
        <v>60</v>
      </c>
    </row>
    <row r="29" spans="1:13" ht="13.5" customHeight="1" x14ac:dyDescent="0.25">
      <c r="A29" s="297" t="s">
        <v>542</v>
      </c>
      <c r="B29" s="298" t="s">
        <v>361</v>
      </c>
      <c r="C29" s="299" t="s">
        <v>362</v>
      </c>
      <c r="D29" s="288" t="s">
        <v>332</v>
      </c>
      <c r="E29" s="296">
        <v>2900</v>
      </c>
      <c r="F29" s="296">
        <v>2900</v>
      </c>
      <c r="G29" s="296">
        <v>2900</v>
      </c>
      <c r="H29" s="296">
        <v>2000</v>
      </c>
      <c r="I29" s="299">
        <v>2000</v>
      </c>
    </row>
    <row r="30" spans="1:13" ht="18" customHeight="1" x14ac:dyDescent="0.25">
      <c r="A30" s="297" t="s">
        <v>543</v>
      </c>
      <c r="B30" s="301" t="s">
        <v>363</v>
      </c>
      <c r="C30" s="302" t="s">
        <v>364</v>
      </c>
      <c r="D30" s="303" t="s">
        <v>332</v>
      </c>
      <c r="E30" s="304">
        <v>383</v>
      </c>
      <c r="F30" s="304">
        <v>383</v>
      </c>
      <c r="G30" s="304">
        <v>383</v>
      </c>
      <c r="H30" s="304">
        <v>250</v>
      </c>
      <c r="I30" s="299">
        <v>250</v>
      </c>
    </row>
    <row r="31" spans="1:13" ht="18" customHeight="1" x14ac:dyDescent="0.25">
      <c r="A31" s="297" t="s">
        <v>544</v>
      </c>
      <c r="B31" s="301"/>
      <c r="C31" s="302" t="s">
        <v>108</v>
      </c>
      <c r="D31" s="303"/>
      <c r="E31" s="304"/>
      <c r="F31" s="304"/>
      <c r="G31" s="304"/>
      <c r="H31" s="304">
        <v>2980</v>
      </c>
      <c r="I31" s="299">
        <v>2980</v>
      </c>
    </row>
    <row r="32" spans="1:13" ht="18" customHeight="1" x14ac:dyDescent="0.25">
      <c r="A32" s="297" t="s">
        <v>545</v>
      </c>
      <c r="B32" s="301" t="s">
        <v>109</v>
      </c>
      <c r="C32" s="302" t="s">
        <v>110</v>
      </c>
      <c r="D32" s="303" t="s">
        <v>332</v>
      </c>
      <c r="E32" s="304"/>
      <c r="F32" s="304"/>
      <c r="G32" s="304">
        <v>248</v>
      </c>
      <c r="H32" s="304">
        <v>248</v>
      </c>
      <c r="I32" s="299">
        <v>248</v>
      </c>
    </row>
    <row r="33" spans="1:13" ht="15.75" x14ac:dyDescent="0.25">
      <c r="A33" s="297" t="s">
        <v>546</v>
      </c>
      <c r="B33" s="299" t="s">
        <v>365</v>
      </c>
      <c r="C33" s="299" t="s">
        <v>366</v>
      </c>
      <c r="D33" s="288" t="s">
        <v>367</v>
      </c>
      <c r="E33" s="299">
        <v>1936</v>
      </c>
      <c r="F33" s="299">
        <v>1718</v>
      </c>
      <c r="G33" s="299">
        <v>1718</v>
      </c>
      <c r="H33" s="299">
        <v>1650</v>
      </c>
      <c r="I33" s="299">
        <v>1650</v>
      </c>
    </row>
    <row r="34" spans="1:13" ht="17.25" customHeight="1" x14ac:dyDescent="0.25">
      <c r="A34" s="297" t="s">
        <v>564</v>
      </c>
      <c r="B34" s="298" t="s">
        <v>368</v>
      </c>
      <c r="C34" s="299" t="s">
        <v>369</v>
      </c>
      <c r="D34" s="288" t="s">
        <v>332</v>
      </c>
      <c r="E34" s="296">
        <v>2500</v>
      </c>
      <c r="F34" s="296">
        <v>2500</v>
      </c>
      <c r="G34" s="296">
        <v>2500</v>
      </c>
      <c r="H34" s="296">
        <v>2500</v>
      </c>
      <c r="I34" s="299">
        <v>2500</v>
      </c>
    </row>
    <row r="35" spans="1:13" ht="20.25" customHeight="1" x14ac:dyDescent="0.25">
      <c r="A35" s="297" t="s">
        <v>565</v>
      </c>
      <c r="B35" s="298" t="s">
        <v>370</v>
      </c>
      <c r="C35" s="299" t="s">
        <v>371</v>
      </c>
      <c r="D35" s="300">
        <v>42124</v>
      </c>
      <c r="E35" s="296">
        <v>1250</v>
      </c>
      <c r="F35" s="296">
        <v>1250</v>
      </c>
      <c r="G35" s="312">
        <v>1250</v>
      </c>
      <c r="H35" s="312">
        <v>312</v>
      </c>
    </row>
    <row r="36" spans="1:13" ht="13.5" customHeight="1" x14ac:dyDescent="0.25">
      <c r="A36" s="297" t="s">
        <v>566</v>
      </c>
      <c r="B36" s="298"/>
      <c r="C36" s="299" t="s">
        <v>372</v>
      </c>
      <c r="D36" s="288" t="s">
        <v>332</v>
      </c>
      <c r="E36" s="296">
        <v>200</v>
      </c>
      <c r="F36" s="296">
        <v>200</v>
      </c>
      <c r="G36" s="296">
        <v>258</v>
      </c>
      <c r="H36" s="296">
        <v>258</v>
      </c>
      <c r="I36" s="299">
        <v>258</v>
      </c>
    </row>
    <row r="37" spans="1:13" ht="13.5" customHeight="1" x14ac:dyDescent="0.25">
      <c r="A37" s="297" t="s">
        <v>567</v>
      </c>
      <c r="B37" s="298" t="s">
        <v>373</v>
      </c>
      <c r="C37" s="299" t="s">
        <v>374</v>
      </c>
      <c r="D37" s="288" t="s">
        <v>332</v>
      </c>
      <c r="E37" s="296">
        <v>994</v>
      </c>
      <c r="F37" s="296">
        <v>994</v>
      </c>
      <c r="G37" s="296">
        <v>994</v>
      </c>
      <c r="H37" s="296">
        <v>994</v>
      </c>
      <c r="I37" s="299">
        <v>971</v>
      </c>
    </row>
    <row r="38" spans="1:13" ht="13.5" customHeight="1" x14ac:dyDescent="0.25">
      <c r="A38" s="297" t="s">
        <v>568</v>
      </c>
      <c r="B38" s="298" t="s">
        <v>111</v>
      </c>
      <c r="C38" s="299" t="s">
        <v>112</v>
      </c>
      <c r="D38" s="288" t="s">
        <v>332</v>
      </c>
      <c r="E38" s="296">
        <v>750</v>
      </c>
      <c r="F38" s="296">
        <v>750</v>
      </c>
      <c r="G38" s="296">
        <v>762</v>
      </c>
      <c r="H38" s="296">
        <v>762</v>
      </c>
      <c r="I38" s="299">
        <v>762</v>
      </c>
    </row>
    <row r="39" spans="1:13" ht="15.75" x14ac:dyDescent="0.25">
      <c r="A39" s="297" t="s">
        <v>569</v>
      </c>
      <c r="B39" s="298" t="s">
        <v>375</v>
      </c>
      <c r="C39" s="299" t="s">
        <v>376</v>
      </c>
      <c r="D39" s="300" t="s">
        <v>332</v>
      </c>
      <c r="E39" s="288">
        <v>330</v>
      </c>
      <c r="F39" s="299">
        <v>330</v>
      </c>
      <c r="G39" s="299">
        <v>330</v>
      </c>
      <c r="H39" s="299">
        <v>330</v>
      </c>
      <c r="I39" s="299">
        <v>330</v>
      </c>
      <c r="K39" s="313"/>
      <c r="M39" s="291"/>
    </row>
    <row r="40" spans="1:13" ht="15.75" x14ac:dyDescent="0.25">
      <c r="A40" s="297" t="s">
        <v>570</v>
      </c>
      <c r="B40" s="298" t="s">
        <v>377</v>
      </c>
      <c r="C40" s="299" t="s">
        <v>378</v>
      </c>
      <c r="D40" s="300" t="s">
        <v>332</v>
      </c>
      <c r="E40" s="288">
        <v>930</v>
      </c>
      <c r="F40" s="299">
        <v>930</v>
      </c>
      <c r="G40" s="299">
        <v>930</v>
      </c>
      <c r="H40" s="299">
        <v>930</v>
      </c>
      <c r="I40" s="299">
        <v>930</v>
      </c>
      <c r="K40" s="313"/>
      <c r="M40" s="291"/>
    </row>
    <row r="41" spans="1:13" ht="15.75" x14ac:dyDescent="0.25">
      <c r="A41" s="297" t="s">
        <v>571</v>
      </c>
      <c r="B41" s="298" t="s">
        <v>113</v>
      </c>
      <c r="C41" s="299" t="s">
        <v>114</v>
      </c>
      <c r="D41" s="300" t="s">
        <v>332</v>
      </c>
      <c r="E41" s="288"/>
      <c r="G41" s="299">
        <v>823</v>
      </c>
      <c r="H41" s="299">
        <v>823</v>
      </c>
      <c r="I41" s="299">
        <v>823</v>
      </c>
      <c r="K41" s="313"/>
      <c r="M41" s="291"/>
    </row>
    <row r="42" spans="1:13" ht="14.1" customHeight="1" x14ac:dyDescent="0.25">
      <c r="A42" s="297" t="s">
        <v>572</v>
      </c>
      <c r="B42" s="299" t="s">
        <v>379</v>
      </c>
      <c r="C42" s="299" t="s">
        <v>380</v>
      </c>
      <c r="D42" s="288" t="s">
        <v>332</v>
      </c>
      <c r="E42" s="299">
        <v>16</v>
      </c>
      <c r="F42" s="299">
        <v>16</v>
      </c>
      <c r="G42" s="299">
        <v>16</v>
      </c>
      <c r="H42" s="299">
        <v>16</v>
      </c>
      <c r="I42" s="299">
        <v>16</v>
      </c>
    </row>
    <row r="43" spans="1:13" s="292" customFormat="1" ht="30" x14ac:dyDescent="0.25">
      <c r="A43" s="297" t="s">
        <v>624</v>
      </c>
      <c r="B43" s="305" t="s">
        <v>381</v>
      </c>
      <c r="C43" s="314" t="s">
        <v>382</v>
      </c>
      <c r="D43" s="307" t="s">
        <v>332</v>
      </c>
      <c r="E43" s="315">
        <v>40</v>
      </c>
      <c r="F43" s="315">
        <v>40</v>
      </c>
      <c r="G43" s="315">
        <v>40</v>
      </c>
      <c r="H43" s="315">
        <v>40</v>
      </c>
      <c r="I43" s="309">
        <v>40</v>
      </c>
      <c r="J43" s="316"/>
      <c r="K43" s="317"/>
      <c r="M43" s="293"/>
    </row>
    <row r="44" spans="1:13" s="292" customFormat="1" ht="18" customHeight="1" x14ac:dyDescent="0.25">
      <c r="A44" s="297" t="s">
        <v>625</v>
      </c>
      <c r="B44" s="305" t="s">
        <v>383</v>
      </c>
      <c r="C44" s="314" t="s">
        <v>384</v>
      </c>
      <c r="D44" s="307" t="s">
        <v>332</v>
      </c>
      <c r="E44" s="315">
        <v>994</v>
      </c>
      <c r="F44" s="315">
        <v>994</v>
      </c>
      <c r="G44" s="315">
        <v>994</v>
      </c>
      <c r="H44" s="309">
        <v>994</v>
      </c>
      <c r="I44" s="309">
        <v>994</v>
      </c>
      <c r="J44" s="316"/>
      <c r="K44" s="317"/>
      <c r="M44" s="293"/>
    </row>
    <row r="45" spans="1:13" s="292" customFormat="1" ht="15.75" x14ac:dyDescent="0.25">
      <c r="A45" s="297" t="s">
        <v>626</v>
      </c>
      <c r="B45" s="305" t="s">
        <v>385</v>
      </c>
      <c r="C45" s="314" t="s">
        <v>386</v>
      </c>
      <c r="D45" s="307" t="s">
        <v>332</v>
      </c>
      <c r="E45" s="315">
        <v>176</v>
      </c>
      <c r="F45" s="315">
        <v>176</v>
      </c>
      <c r="G45" s="315">
        <v>176</v>
      </c>
      <c r="H45" s="309">
        <v>176</v>
      </c>
      <c r="I45" s="309">
        <v>176</v>
      </c>
      <c r="J45" s="316"/>
      <c r="K45" s="317"/>
      <c r="M45" s="293"/>
    </row>
    <row r="46" spans="1:13" ht="13.5" customHeight="1" x14ac:dyDescent="0.25">
      <c r="A46" s="297" t="s">
        <v>627</v>
      </c>
      <c r="B46" s="301" t="s">
        <v>387</v>
      </c>
      <c r="C46" s="302" t="s">
        <v>388</v>
      </c>
      <c r="D46" s="303" t="s">
        <v>332</v>
      </c>
      <c r="E46" s="304">
        <v>199</v>
      </c>
      <c r="F46" s="304">
        <v>199</v>
      </c>
      <c r="G46" s="297">
        <v>199</v>
      </c>
      <c r="H46" s="304">
        <v>199</v>
      </c>
      <c r="I46" s="299">
        <v>199</v>
      </c>
    </row>
    <row r="47" spans="1:13" ht="13.5" customHeight="1" x14ac:dyDescent="0.25">
      <c r="A47" s="297" t="s">
        <v>115</v>
      </c>
      <c r="B47" s="301" t="s">
        <v>389</v>
      </c>
      <c r="C47" s="302" t="s">
        <v>390</v>
      </c>
      <c r="D47" s="303" t="s">
        <v>332</v>
      </c>
      <c r="E47" s="304">
        <v>1863</v>
      </c>
      <c r="F47" s="304">
        <v>1863</v>
      </c>
      <c r="G47" s="304">
        <v>1863</v>
      </c>
      <c r="H47" s="304">
        <v>1863</v>
      </c>
      <c r="I47" s="299">
        <v>1900</v>
      </c>
    </row>
    <row r="48" spans="1:13" ht="13.5" customHeight="1" x14ac:dyDescent="0.25">
      <c r="A48" s="297" t="s">
        <v>652</v>
      </c>
      <c r="B48" s="301" t="s">
        <v>116</v>
      </c>
      <c r="C48" s="302" t="s">
        <v>117</v>
      </c>
      <c r="D48" s="303" t="s">
        <v>332</v>
      </c>
      <c r="E48" s="304"/>
      <c r="F48" s="304"/>
      <c r="G48" s="304">
        <v>29600</v>
      </c>
      <c r="H48" s="304">
        <v>29600</v>
      </c>
      <c r="I48" s="299">
        <v>29600</v>
      </c>
    </row>
    <row r="49" spans="1:13" s="292" customFormat="1" ht="15.75" x14ac:dyDescent="0.25">
      <c r="A49" s="297" t="s">
        <v>653</v>
      </c>
      <c r="B49" s="305" t="s">
        <v>391</v>
      </c>
      <c r="C49" s="306" t="s">
        <v>392</v>
      </c>
      <c r="D49" s="307" t="s">
        <v>332</v>
      </c>
      <c r="E49" s="308">
        <v>3600</v>
      </c>
      <c r="F49" s="308">
        <v>3600</v>
      </c>
      <c r="G49" s="308">
        <v>3600</v>
      </c>
      <c r="H49" s="308">
        <v>6553</v>
      </c>
      <c r="I49" s="309">
        <v>6553</v>
      </c>
      <c r="J49" s="316"/>
      <c r="K49" s="317"/>
      <c r="M49" s="293"/>
    </row>
    <row r="50" spans="1:13" s="292" customFormat="1" ht="15.75" x14ac:dyDescent="0.25">
      <c r="A50" s="297" t="s">
        <v>118</v>
      </c>
      <c r="B50" s="305" t="s">
        <v>393</v>
      </c>
      <c r="C50" s="306" t="s">
        <v>394</v>
      </c>
      <c r="D50" s="307" t="s">
        <v>332</v>
      </c>
      <c r="E50" s="308">
        <v>123</v>
      </c>
      <c r="F50" s="308">
        <v>123</v>
      </c>
      <c r="G50" s="308">
        <v>123</v>
      </c>
      <c r="H50" s="308">
        <v>123</v>
      </c>
      <c r="I50" s="309">
        <v>123</v>
      </c>
      <c r="J50" s="316"/>
      <c r="K50" s="317"/>
      <c r="M50" s="293"/>
    </row>
    <row r="51" spans="1:13" ht="14.1" customHeight="1" x14ac:dyDescent="0.25">
      <c r="A51" s="297" t="s">
        <v>119</v>
      </c>
      <c r="B51" s="299" t="s">
        <v>395</v>
      </c>
      <c r="C51" s="299" t="s">
        <v>396</v>
      </c>
      <c r="D51" s="288" t="s">
        <v>332</v>
      </c>
      <c r="E51" s="299">
        <v>225</v>
      </c>
      <c r="F51" s="299">
        <v>225</v>
      </c>
      <c r="G51" s="299">
        <v>225</v>
      </c>
      <c r="H51" s="299">
        <v>241</v>
      </c>
      <c r="I51" s="299">
        <v>241</v>
      </c>
    </row>
    <row r="52" spans="1:13" ht="14.1" customHeight="1" x14ac:dyDescent="0.25">
      <c r="A52" s="297" t="s">
        <v>120</v>
      </c>
      <c r="B52" s="299" t="s">
        <v>121</v>
      </c>
      <c r="C52" s="299" t="s">
        <v>122</v>
      </c>
      <c r="D52" s="288" t="s">
        <v>430</v>
      </c>
      <c r="G52" s="299">
        <v>600</v>
      </c>
      <c r="H52" s="299">
        <v>1200</v>
      </c>
      <c r="I52" s="299">
        <v>1200</v>
      </c>
    </row>
    <row r="53" spans="1:13" ht="14.1" customHeight="1" x14ac:dyDescent="0.25">
      <c r="A53" s="297" t="s">
        <v>123</v>
      </c>
      <c r="B53" s="299" t="s">
        <v>124</v>
      </c>
      <c r="C53" s="299" t="s">
        <v>125</v>
      </c>
      <c r="D53" s="288" t="s">
        <v>332</v>
      </c>
      <c r="H53" s="299">
        <v>243</v>
      </c>
      <c r="I53" s="299">
        <v>243</v>
      </c>
    </row>
    <row r="54" spans="1:13" ht="14.1" customHeight="1" x14ac:dyDescent="0.25">
      <c r="A54" s="297" t="s">
        <v>126</v>
      </c>
      <c r="B54" s="299" t="s">
        <v>397</v>
      </c>
      <c r="C54" s="299" t="s">
        <v>398</v>
      </c>
      <c r="D54" s="288" t="s">
        <v>332</v>
      </c>
      <c r="E54" s="299">
        <v>26</v>
      </c>
      <c r="F54" s="299">
        <v>26</v>
      </c>
      <c r="G54" s="299">
        <v>26</v>
      </c>
      <c r="H54" s="299">
        <v>26</v>
      </c>
      <c r="I54" s="299">
        <v>26</v>
      </c>
    </row>
    <row r="55" spans="1:13" s="292" customFormat="1" ht="15.75" x14ac:dyDescent="0.25">
      <c r="A55" s="297" t="s">
        <v>127</v>
      </c>
      <c r="B55" s="305" t="s">
        <v>399</v>
      </c>
      <c r="C55" s="306" t="s">
        <v>400</v>
      </c>
      <c r="D55" s="307" t="s">
        <v>332</v>
      </c>
      <c r="E55" s="308">
        <v>5</v>
      </c>
      <c r="F55" s="308">
        <v>5</v>
      </c>
      <c r="G55" s="308">
        <v>5</v>
      </c>
      <c r="H55" s="309">
        <v>5</v>
      </c>
      <c r="I55" s="309">
        <v>5</v>
      </c>
      <c r="J55" s="316"/>
      <c r="K55" s="317"/>
      <c r="M55" s="293"/>
    </row>
    <row r="56" spans="1:13" s="294" customFormat="1" ht="13.5" customHeight="1" x14ac:dyDescent="0.25">
      <c r="A56" s="297" t="s">
        <v>128</v>
      </c>
      <c r="B56" s="305" t="s">
        <v>401</v>
      </c>
      <c r="C56" s="306" t="s">
        <v>402</v>
      </c>
      <c r="D56" s="307" t="s">
        <v>332</v>
      </c>
      <c r="E56" s="308">
        <v>250</v>
      </c>
      <c r="F56" s="308">
        <v>250</v>
      </c>
      <c r="G56" s="308">
        <v>250</v>
      </c>
      <c r="H56" s="308">
        <v>250</v>
      </c>
      <c r="I56" s="309">
        <v>250</v>
      </c>
      <c r="J56" s="310"/>
      <c r="K56" s="311"/>
      <c r="M56" s="295"/>
    </row>
    <row r="57" spans="1:13" s="294" customFormat="1" ht="13.5" customHeight="1" x14ac:dyDescent="0.25">
      <c r="A57" s="297" t="s">
        <v>129</v>
      </c>
      <c r="B57" s="305" t="s">
        <v>130</v>
      </c>
      <c r="C57" s="306" t="s">
        <v>131</v>
      </c>
      <c r="D57" s="307" t="s">
        <v>430</v>
      </c>
      <c r="E57" s="308"/>
      <c r="F57" s="308"/>
      <c r="G57" s="308">
        <v>2439</v>
      </c>
      <c r="H57" s="308">
        <v>3658</v>
      </c>
      <c r="I57" s="309">
        <v>3658</v>
      </c>
      <c r="J57" s="310"/>
      <c r="K57" s="311"/>
      <c r="M57" s="295"/>
    </row>
    <row r="58" spans="1:13" s="294" customFormat="1" ht="13.5" customHeight="1" x14ac:dyDescent="0.25">
      <c r="A58" s="297" t="s">
        <v>132</v>
      </c>
      <c r="B58" s="305" t="s">
        <v>133</v>
      </c>
      <c r="C58" s="306" t="s">
        <v>134</v>
      </c>
      <c r="D58" s="307" t="s">
        <v>430</v>
      </c>
      <c r="E58" s="308"/>
      <c r="F58" s="308"/>
      <c r="G58" s="308">
        <v>2438</v>
      </c>
      <c r="H58" s="308">
        <v>2438</v>
      </c>
      <c r="I58" s="309">
        <v>2438</v>
      </c>
      <c r="J58" s="310"/>
      <c r="K58" s="311"/>
      <c r="M58" s="295"/>
    </row>
    <row r="59" spans="1:13" s="294" customFormat="1" ht="13.5" customHeight="1" x14ac:dyDescent="0.25">
      <c r="A59" s="297" t="s">
        <v>135</v>
      </c>
      <c r="B59" s="305" t="s">
        <v>136</v>
      </c>
      <c r="C59" s="306" t="s">
        <v>137</v>
      </c>
      <c r="D59" s="307" t="s">
        <v>332</v>
      </c>
      <c r="E59" s="308"/>
      <c r="F59" s="308"/>
      <c r="G59" s="308">
        <v>610</v>
      </c>
      <c r="H59" s="308">
        <v>610</v>
      </c>
      <c r="I59" s="309">
        <v>610</v>
      </c>
      <c r="J59" s="310"/>
      <c r="K59" s="311"/>
      <c r="M59" s="295"/>
    </row>
    <row r="60" spans="1:13" s="294" customFormat="1" ht="13.5" customHeight="1" x14ac:dyDescent="0.25">
      <c r="A60" s="297" t="s">
        <v>138</v>
      </c>
      <c r="B60" s="305" t="s">
        <v>403</v>
      </c>
      <c r="C60" s="306" t="s">
        <v>404</v>
      </c>
      <c r="D60" s="307">
        <v>43496</v>
      </c>
      <c r="E60" s="308">
        <v>2865</v>
      </c>
      <c r="F60" s="308">
        <v>2865</v>
      </c>
      <c r="G60" s="308">
        <v>2865</v>
      </c>
      <c r="H60" s="308">
        <v>2865</v>
      </c>
      <c r="I60" s="309">
        <v>2865</v>
      </c>
      <c r="J60" s="310"/>
      <c r="K60" s="311"/>
      <c r="M60" s="295"/>
    </row>
    <row r="61" spans="1:13" s="294" customFormat="1" ht="13.5" customHeight="1" x14ac:dyDescent="0.25">
      <c r="A61" s="297" t="s">
        <v>139</v>
      </c>
      <c r="B61" s="305" t="s">
        <v>140</v>
      </c>
      <c r="C61" s="306" t="s">
        <v>141</v>
      </c>
      <c r="D61" s="307"/>
      <c r="E61" s="308">
        <v>175</v>
      </c>
      <c r="F61" s="308">
        <v>175</v>
      </c>
      <c r="G61" s="308">
        <v>175</v>
      </c>
      <c r="H61" s="308">
        <v>175</v>
      </c>
      <c r="I61" s="309">
        <v>175</v>
      </c>
      <c r="J61" s="310"/>
      <c r="K61" s="311"/>
      <c r="M61" s="295"/>
    </row>
    <row r="62" spans="1:13" s="294" customFormat="1" ht="13.5" customHeight="1" x14ac:dyDescent="0.25">
      <c r="A62" s="297" t="s">
        <v>142</v>
      </c>
      <c r="B62" s="305" t="s">
        <v>405</v>
      </c>
      <c r="C62" s="306" t="s">
        <v>406</v>
      </c>
      <c r="D62" s="307" t="s">
        <v>332</v>
      </c>
      <c r="E62" s="308">
        <v>217</v>
      </c>
      <c r="F62" s="308">
        <v>217</v>
      </c>
      <c r="G62" s="308">
        <v>217</v>
      </c>
      <c r="H62" s="308">
        <v>217</v>
      </c>
      <c r="I62" s="309">
        <v>217</v>
      </c>
      <c r="J62" s="310"/>
      <c r="K62" s="311"/>
      <c r="M62" s="295"/>
    </row>
    <row r="63" spans="1:13" s="294" customFormat="1" ht="13.5" customHeight="1" x14ac:dyDescent="0.25">
      <c r="A63" s="297" t="s">
        <v>143</v>
      </c>
      <c r="B63" s="298" t="s">
        <v>407</v>
      </c>
      <c r="C63" s="318" t="s">
        <v>408</v>
      </c>
      <c r="D63" s="307" t="s">
        <v>332</v>
      </c>
      <c r="E63" s="327">
        <v>15</v>
      </c>
      <c r="F63" s="327">
        <v>15</v>
      </c>
      <c r="G63" s="308">
        <v>15</v>
      </c>
      <c r="H63" s="308">
        <v>15</v>
      </c>
      <c r="I63" s="309">
        <v>15</v>
      </c>
      <c r="J63" s="310"/>
      <c r="K63" s="311"/>
      <c r="M63" s="295"/>
    </row>
    <row r="64" spans="1:13" s="294" customFormat="1" ht="13.5" customHeight="1" x14ac:dyDescent="0.25">
      <c r="A64" s="297" t="s">
        <v>144</v>
      </c>
      <c r="B64" s="298" t="s">
        <v>407</v>
      </c>
      <c r="C64" s="318" t="s">
        <v>409</v>
      </c>
      <c r="D64" s="307" t="s">
        <v>332</v>
      </c>
      <c r="E64" s="327">
        <v>150</v>
      </c>
      <c r="F64" s="327">
        <v>150</v>
      </c>
      <c r="G64" s="308">
        <v>150</v>
      </c>
      <c r="H64" s="308">
        <v>226</v>
      </c>
      <c r="I64" s="309">
        <v>226</v>
      </c>
      <c r="J64" s="310"/>
      <c r="K64" s="311"/>
      <c r="M64" s="295"/>
    </row>
    <row r="65" spans="1:13" s="294" customFormat="1" ht="13.5" customHeight="1" x14ac:dyDescent="0.25">
      <c r="A65" s="297" t="s">
        <v>145</v>
      </c>
      <c r="B65" s="298" t="s">
        <v>410</v>
      </c>
      <c r="C65" s="318" t="s">
        <v>411</v>
      </c>
      <c r="D65" s="307" t="s">
        <v>332</v>
      </c>
      <c r="E65" s="327">
        <v>75</v>
      </c>
      <c r="F65" s="327">
        <v>75</v>
      </c>
      <c r="G65" s="308">
        <v>75</v>
      </c>
      <c r="H65" s="308">
        <v>45</v>
      </c>
      <c r="I65" s="309">
        <v>45</v>
      </c>
      <c r="J65" s="310"/>
      <c r="K65" s="311"/>
      <c r="M65" s="295"/>
    </row>
    <row r="66" spans="1:13" s="294" customFormat="1" ht="13.5" customHeight="1" x14ac:dyDescent="0.25">
      <c r="A66" s="297" t="s">
        <v>146</v>
      </c>
      <c r="B66" s="305"/>
      <c r="C66" s="306" t="s">
        <v>147</v>
      </c>
      <c r="D66" s="307" t="s">
        <v>430</v>
      </c>
      <c r="E66" s="308"/>
      <c r="F66" s="308"/>
      <c r="G66" s="308">
        <v>347</v>
      </c>
      <c r="H66" s="308">
        <v>347</v>
      </c>
      <c r="I66" s="309">
        <v>347</v>
      </c>
      <c r="J66" s="310"/>
      <c r="K66" s="311"/>
      <c r="M66" s="295"/>
    </row>
    <row r="67" spans="1:13" s="294" customFormat="1" ht="13.5" customHeight="1" x14ac:dyDescent="0.25">
      <c r="A67" s="297" t="s">
        <v>148</v>
      </c>
      <c r="B67" s="305" t="s">
        <v>149</v>
      </c>
      <c r="C67" s="306" t="s">
        <v>150</v>
      </c>
      <c r="D67" s="307" t="s">
        <v>430</v>
      </c>
      <c r="E67" s="308"/>
      <c r="F67" s="308"/>
      <c r="G67" s="308">
        <v>54</v>
      </c>
      <c r="H67" s="308">
        <v>216</v>
      </c>
      <c r="I67" s="309">
        <v>216</v>
      </c>
      <c r="J67" s="310"/>
      <c r="K67" s="311"/>
      <c r="M67" s="295"/>
    </row>
    <row r="68" spans="1:13" s="294" customFormat="1" ht="13.5" customHeight="1" x14ac:dyDescent="0.25">
      <c r="A68" s="297" t="s">
        <v>151</v>
      </c>
      <c r="B68" s="305"/>
      <c r="C68" s="306" t="s">
        <v>152</v>
      </c>
      <c r="D68" s="307" t="s">
        <v>430</v>
      </c>
      <c r="E68" s="308"/>
      <c r="F68" s="308"/>
      <c r="G68" s="308">
        <v>380</v>
      </c>
      <c r="H68" s="308">
        <v>380</v>
      </c>
      <c r="I68" s="309">
        <v>380</v>
      </c>
      <c r="J68" s="310"/>
      <c r="K68" s="311"/>
      <c r="M68" s="295"/>
    </row>
    <row r="69" spans="1:13" s="294" customFormat="1" ht="13.5" customHeight="1" x14ac:dyDescent="0.25">
      <c r="A69" s="297" t="s">
        <v>153</v>
      </c>
      <c r="B69" s="305" t="s">
        <v>412</v>
      </c>
      <c r="C69" s="306" t="s">
        <v>413</v>
      </c>
      <c r="D69" s="307" t="s">
        <v>332</v>
      </c>
      <c r="E69" s="308">
        <v>1800</v>
      </c>
      <c r="F69" s="308">
        <v>1800</v>
      </c>
      <c r="G69" s="308">
        <v>1800</v>
      </c>
      <c r="H69" s="308">
        <v>1500</v>
      </c>
      <c r="I69" s="309">
        <v>1500</v>
      </c>
      <c r="J69" s="310"/>
      <c r="K69" s="311"/>
      <c r="M69" s="295"/>
    </row>
    <row r="70" spans="1:13" s="294" customFormat="1" ht="13.5" customHeight="1" x14ac:dyDescent="0.25">
      <c r="A70" s="297" t="s">
        <v>154</v>
      </c>
      <c r="B70" s="305" t="s">
        <v>414</v>
      </c>
      <c r="C70" s="306" t="s">
        <v>415</v>
      </c>
      <c r="D70" s="307" t="s">
        <v>332</v>
      </c>
      <c r="E70" s="308">
        <v>1875</v>
      </c>
      <c r="F70" s="308">
        <v>2000</v>
      </c>
      <c r="G70" s="308">
        <v>2000</v>
      </c>
      <c r="H70" s="308">
        <v>1700</v>
      </c>
      <c r="I70" s="309">
        <v>1700</v>
      </c>
      <c r="J70" s="310"/>
      <c r="K70" s="311"/>
      <c r="M70" s="295"/>
    </row>
    <row r="71" spans="1:13" ht="13.5" customHeight="1" x14ac:dyDescent="0.25">
      <c r="A71" s="297" t="s">
        <v>155</v>
      </c>
      <c r="B71" s="1678" t="s">
        <v>416</v>
      </c>
      <c r="C71" s="1678"/>
      <c r="E71" s="337">
        <f>SUM(E12:E70)</f>
        <v>127862</v>
      </c>
      <c r="F71" s="337">
        <f>SUM(F12:F70)</f>
        <v>115727</v>
      </c>
      <c r="G71" s="337">
        <f>SUM(G12:G70)</f>
        <v>108085</v>
      </c>
      <c r="H71" s="337">
        <f>SUM(H12:H70)</f>
        <v>165363</v>
      </c>
      <c r="I71" s="337">
        <f>SUM(I12:I70)</f>
        <v>164803</v>
      </c>
    </row>
    <row r="72" spans="1:13" ht="9.75" customHeight="1" x14ac:dyDescent="0.25">
      <c r="A72" s="297"/>
      <c r="B72" s="285"/>
      <c r="C72" s="298"/>
      <c r="E72" s="296"/>
      <c r="F72" s="296"/>
      <c r="G72" s="296"/>
      <c r="H72" s="296"/>
    </row>
    <row r="73" spans="1:13" ht="6.75" customHeight="1" x14ac:dyDescent="0.25">
      <c r="E73" s="296"/>
      <c r="F73" s="296"/>
      <c r="G73" s="296"/>
      <c r="H73" s="296"/>
    </row>
    <row r="74" spans="1:13" ht="13.5" customHeight="1" x14ac:dyDescent="0.25">
      <c r="E74" s="296"/>
      <c r="F74" s="296"/>
      <c r="G74" s="296"/>
      <c r="H74" s="29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272" customWidth="1"/>
    <col min="2" max="2" width="71.7109375" style="272" customWidth="1"/>
    <col min="3" max="3" width="13.5703125" style="272" customWidth="1"/>
    <col min="4" max="4" width="9.140625" style="260"/>
    <col min="5" max="16384" width="9.140625" style="261"/>
  </cols>
  <sheetData>
    <row r="2" spans="1:4" ht="32.25" customHeight="1" x14ac:dyDescent="0.25">
      <c r="A2" s="261"/>
      <c r="B2" s="1686" t="s">
        <v>1297</v>
      </c>
      <c r="C2" s="1686"/>
    </row>
    <row r="3" spans="1:4" ht="20.100000000000001" customHeight="1" x14ac:dyDescent="0.25">
      <c r="A3" s="261"/>
      <c r="B3" s="343"/>
      <c r="C3" s="343"/>
    </row>
    <row r="4" spans="1:4" ht="20.100000000000001" customHeight="1" x14ac:dyDescent="0.25">
      <c r="A4" s="261"/>
      <c r="B4" s="1688" t="s">
        <v>77</v>
      </c>
      <c r="C4" s="1688"/>
    </row>
    <row r="5" spans="1:4" ht="20.100000000000001" customHeight="1" x14ac:dyDescent="0.25">
      <c r="A5" s="261"/>
      <c r="B5" s="1688" t="s">
        <v>1157</v>
      </c>
      <c r="C5" s="1688"/>
    </row>
    <row r="6" spans="1:4" ht="20.100000000000001" customHeight="1" x14ac:dyDescent="0.25">
      <c r="A6" s="261"/>
      <c r="B6" s="1688" t="s">
        <v>1264</v>
      </c>
      <c r="C6" s="1688"/>
    </row>
    <row r="7" spans="1:4" s="263" customFormat="1" ht="20.100000000000001" customHeight="1" x14ac:dyDescent="0.25">
      <c r="B7" s="1688"/>
      <c r="C7" s="1688"/>
      <c r="D7" s="262"/>
    </row>
    <row r="8" spans="1:4" s="263" customFormat="1" ht="20.100000000000001" customHeight="1" x14ac:dyDescent="0.25">
      <c r="B8" s="344"/>
      <c r="C8" s="344"/>
      <c r="D8" s="262"/>
    </row>
    <row r="9" spans="1:4" s="265" customFormat="1" ht="20.100000000000001" customHeight="1" x14ac:dyDescent="0.25">
      <c r="B9" s="345"/>
      <c r="C9" s="346" t="s">
        <v>314</v>
      </c>
      <c r="D9" s="264"/>
    </row>
    <row r="10" spans="1:4" ht="20.100000000000001" customHeight="1" x14ac:dyDescent="0.25">
      <c r="A10" s="1687"/>
      <c r="B10" s="347" t="s">
        <v>57</v>
      </c>
      <c r="C10" s="347" t="s">
        <v>58</v>
      </c>
    </row>
    <row r="11" spans="1:4" s="265" customFormat="1" ht="30.75" customHeight="1" x14ac:dyDescent="0.25">
      <c r="A11" s="1687"/>
      <c r="B11" s="348" t="s">
        <v>85</v>
      </c>
      <c r="C11" s="348" t="s">
        <v>417</v>
      </c>
      <c r="D11" s="264"/>
    </row>
    <row r="12" spans="1:4" ht="22.5" customHeight="1" x14ac:dyDescent="0.25">
      <c r="A12" s="349"/>
      <c r="B12" s="263" t="s">
        <v>1265</v>
      </c>
      <c r="C12" s="261"/>
    </row>
    <row r="13" spans="1:4" ht="69" customHeight="1" x14ac:dyDescent="0.25">
      <c r="A13" s="350" t="s">
        <v>479</v>
      </c>
      <c r="B13" s="745" t="s">
        <v>1296</v>
      </c>
      <c r="C13" s="542">
        <v>178673</v>
      </c>
    </row>
    <row r="14" spans="1:4" ht="20.100000000000001" customHeight="1" x14ac:dyDescent="0.25">
      <c r="A14" s="349"/>
      <c r="B14" s="261"/>
      <c r="C14" s="543"/>
    </row>
    <row r="15" spans="1:4" ht="35.25" customHeight="1" x14ac:dyDescent="0.25">
      <c r="A15" s="350" t="s">
        <v>487</v>
      </c>
      <c r="B15" s="351" t="s">
        <v>1294</v>
      </c>
      <c r="C15" s="542">
        <v>328</v>
      </c>
    </row>
    <row r="16" spans="1:4" ht="29.25" customHeight="1" x14ac:dyDescent="0.25">
      <c r="A16" s="349"/>
      <c r="B16" s="351" t="s">
        <v>1295</v>
      </c>
      <c r="C16" s="543">
        <v>1072</v>
      </c>
    </row>
    <row r="17" spans="1:4" ht="19.5" customHeight="1" x14ac:dyDescent="0.25">
      <c r="A17" s="349"/>
      <c r="B17" s="351"/>
      <c r="C17" s="543"/>
    </row>
    <row r="18" spans="1:4" ht="36" customHeight="1" x14ac:dyDescent="0.25">
      <c r="A18" s="350" t="s">
        <v>488</v>
      </c>
      <c r="B18" s="351" t="s">
        <v>1271</v>
      </c>
      <c r="C18" s="544">
        <v>0</v>
      </c>
    </row>
    <row r="19" spans="1:4" ht="20.100000000000001" customHeight="1" x14ac:dyDescent="0.25">
      <c r="A19" s="349"/>
      <c r="B19" s="352"/>
      <c r="C19" s="543"/>
    </row>
    <row r="20" spans="1:4" s="263" customFormat="1" ht="20.100000000000001" customHeight="1" x14ac:dyDescent="0.25">
      <c r="A20" s="349" t="s">
        <v>489</v>
      </c>
      <c r="B20" s="263" t="s">
        <v>1269</v>
      </c>
      <c r="C20" s="545">
        <f>SUM(C13:C19)</f>
        <v>180073</v>
      </c>
      <c r="D20" s="262"/>
    </row>
    <row r="21" spans="1:4" ht="20.100000000000001" customHeight="1" x14ac:dyDescent="0.25">
      <c r="A21" s="261"/>
      <c r="B21" s="261"/>
      <c r="C21" s="543"/>
    </row>
    <row r="22" spans="1:4" ht="20.100000000000001" customHeight="1" x14ac:dyDescent="0.25">
      <c r="C22" s="273"/>
    </row>
    <row r="23" spans="1:4" ht="20.100000000000001" customHeight="1" x14ac:dyDescent="0.25">
      <c r="B23" s="263" t="s">
        <v>1263</v>
      </c>
      <c r="C23" s="543"/>
    </row>
    <row r="24" spans="1:4" ht="20.100000000000001" customHeight="1" x14ac:dyDescent="0.25">
      <c r="B24" s="261" t="s">
        <v>1267</v>
      </c>
      <c r="C24" s="543">
        <v>1031</v>
      </c>
    </row>
    <row r="25" spans="1:4" ht="20.100000000000001" customHeight="1" x14ac:dyDescent="0.25">
      <c r="B25" s="261"/>
      <c r="C25" s="543"/>
    </row>
    <row r="26" spans="1:4" ht="33" customHeight="1" x14ac:dyDescent="0.25">
      <c r="B26" s="351" t="s">
        <v>1266</v>
      </c>
      <c r="C26" s="261">
        <v>1707</v>
      </c>
    </row>
    <row r="27" spans="1:4" ht="33" customHeight="1" x14ac:dyDescent="0.25">
      <c r="B27" s="351"/>
      <c r="C27" s="261"/>
    </row>
    <row r="28" spans="1:4" ht="20.100000000000001" customHeight="1" x14ac:dyDescent="0.25">
      <c r="B28" s="263" t="s">
        <v>1268</v>
      </c>
      <c r="C28" s="545">
        <f>SUM(C24:C26)</f>
        <v>2738</v>
      </c>
    </row>
    <row r="29" spans="1:4" ht="20.100000000000001" customHeight="1" x14ac:dyDescent="0.25">
      <c r="B29" s="261"/>
      <c r="C29" s="261"/>
    </row>
    <row r="30" spans="1:4" ht="20.100000000000001" customHeight="1" x14ac:dyDescent="0.25">
      <c r="B30" s="263" t="s">
        <v>1270</v>
      </c>
      <c r="C30" s="545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266" customWidth="1"/>
    <col min="2" max="2" width="29.28515625" style="266" customWidth="1"/>
    <col min="3" max="3" width="16.85546875" style="266" bestFit="1" customWidth="1"/>
    <col min="4" max="4" width="15.5703125" style="266" customWidth="1"/>
    <col min="5" max="5" width="9.85546875" style="266" bestFit="1" customWidth="1"/>
    <col min="6" max="6" width="12.85546875" style="266" customWidth="1"/>
    <col min="7" max="8" width="14.5703125" style="266" customWidth="1"/>
    <col min="9" max="9" width="10.7109375" style="266" customWidth="1"/>
    <col min="10" max="10" width="10.5703125" style="266" customWidth="1"/>
    <col min="11" max="11" width="10.28515625" style="266" customWidth="1"/>
    <col min="12" max="12" width="10.28515625" style="266"/>
    <col min="13" max="16384" width="10.28515625" style="271"/>
  </cols>
  <sheetData>
    <row r="1" spans="1:12" s="266" customFormat="1" x14ac:dyDescent="0.2">
      <c r="A1" s="1689" t="s">
        <v>1254</v>
      </c>
      <c r="B1" s="1689"/>
      <c r="C1" s="1689"/>
      <c r="D1" s="1689"/>
      <c r="E1" s="1689"/>
      <c r="F1" s="1689"/>
      <c r="G1" s="1689"/>
      <c r="H1" s="1689"/>
      <c r="I1" s="1689"/>
      <c r="J1" s="1689"/>
    </row>
    <row r="2" spans="1:12" s="266" customFormat="1" ht="14.1" customHeight="1" x14ac:dyDescent="0.2"/>
    <row r="3" spans="1:12" s="266" customFormat="1" ht="15" customHeight="1" x14ac:dyDescent="0.25">
      <c r="B3" s="1691" t="s">
        <v>77</v>
      </c>
      <c r="C3" s="1691"/>
      <c r="D3" s="1691"/>
      <c r="E3" s="1691"/>
      <c r="F3" s="1691"/>
      <c r="G3" s="1691"/>
      <c r="H3" s="1691"/>
      <c r="I3" s="1691"/>
      <c r="J3" s="1691"/>
    </row>
    <row r="4" spans="1:12" s="266" customFormat="1" ht="15" customHeight="1" x14ac:dyDescent="0.25">
      <c r="B4" s="1691" t="s">
        <v>1157</v>
      </c>
      <c r="C4" s="1691"/>
      <c r="D4" s="1691"/>
      <c r="E4" s="1691"/>
      <c r="F4" s="1691"/>
      <c r="G4" s="1691"/>
      <c r="H4" s="1691"/>
      <c r="I4" s="1691"/>
      <c r="J4" s="1691"/>
    </row>
    <row r="5" spans="1:12" s="266" customFormat="1" ht="15" customHeight="1" x14ac:dyDescent="0.25">
      <c r="B5" s="1691" t="s">
        <v>418</v>
      </c>
      <c r="C5" s="1691"/>
      <c r="D5" s="1691"/>
      <c r="E5" s="1691"/>
      <c r="F5" s="1691"/>
      <c r="G5" s="1691"/>
      <c r="H5" s="1691"/>
      <c r="I5" s="1691"/>
      <c r="J5" s="1691"/>
    </row>
    <row r="6" spans="1:12" s="266" customFormat="1" ht="15" customHeight="1" x14ac:dyDescent="0.25">
      <c r="B6" s="1691"/>
      <c r="C6" s="1691"/>
      <c r="D6" s="1691"/>
      <c r="E6" s="1691"/>
      <c r="F6" s="1691"/>
      <c r="G6" s="1691"/>
      <c r="H6" s="1691"/>
      <c r="I6" s="1691"/>
      <c r="J6" s="1691"/>
    </row>
    <row r="7" spans="1:12" s="266" customFormat="1" ht="15" customHeight="1" x14ac:dyDescent="0.25">
      <c r="B7" s="1699" t="s">
        <v>314</v>
      </c>
      <c r="C7" s="1699"/>
      <c r="D7" s="1699"/>
      <c r="E7" s="1699"/>
      <c r="F7" s="1699"/>
      <c r="G7" s="1699"/>
      <c r="H7" s="1699"/>
      <c r="I7" s="1699"/>
      <c r="J7" s="1699"/>
    </row>
    <row r="8" spans="1:12" s="267" customFormat="1" ht="14.1" customHeight="1" x14ac:dyDescent="0.25">
      <c r="A8" s="1690"/>
      <c r="B8" s="737" t="s">
        <v>57</v>
      </c>
      <c r="C8" s="737" t="s">
        <v>58</v>
      </c>
      <c r="D8" s="737" t="s">
        <v>59</v>
      </c>
      <c r="E8" s="737" t="s">
        <v>60</v>
      </c>
      <c r="F8" s="737" t="s">
        <v>470</v>
      </c>
      <c r="G8" s="737" t="s">
        <v>471</v>
      </c>
      <c r="H8" s="737" t="s">
        <v>472</v>
      </c>
      <c r="I8" s="737" t="s">
        <v>592</v>
      </c>
      <c r="J8" s="737" t="s">
        <v>600</v>
      </c>
    </row>
    <row r="9" spans="1:12" s="268" customFormat="1" ht="17.25" customHeight="1" x14ac:dyDescent="0.25">
      <c r="A9" s="1690"/>
      <c r="B9" s="1693" t="s">
        <v>85</v>
      </c>
      <c r="C9" s="1695" t="s">
        <v>419</v>
      </c>
      <c r="D9" s="1695" t="s">
        <v>1240</v>
      </c>
      <c r="E9" s="1693" t="s">
        <v>420</v>
      </c>
      <c r="F9" s="1697" t="s">
        <v>421</v>
      </c>
      <c r="G9" s="1693" t="s">
        <v>422</v>
      </c>
      <c r="H9" s="1695" t="s">
        <v>920</v>
      </c>
      <c r="I9" s="1692" t="s">
        <v>423</v>
      </c>
      <c r="J9" s="1692"/>
    </row>
    <row r="10" spans="1:12" s="268" customFormat="1" ht="30" customHeight="1" x14ac:dyDescent="0.25">
      <c r="A10" s="1690"/>
      <c r="B10" s="1694"/>
      <c r="C10" s="1696"/>
      <c r="D10" s="1696"/>
      <c r="E10" s="1694"/>
      <c r="F10" s="1698"/>
      <c r="G10" s="1694"/>
      <c r="H10" s="1696"/>
      <c r="I10" s="737" t="s">
        <v>424</v>
      </c>
      <c r="J10" s="737" t="s">
        <v>425</v>
      </c>
    </row>
    <row r="11" spans="1:12" s="267" customFormat="1" ht="16.5" customHeight="1" x14ac:dyDescent="0.25">
      <c r="A11" s="269" t="s">
        <v>479</v>
      </c>
      <c r="B11" s="274" t="s">
        <v>426</v>
      </c>
    </row>
    <row r="12" spans="1:12" s="267" customFormat="1" ht="15" customHeight="1" x14ac:dyDescent="0.25">
      <c r="A12" s="269" t="s">
        <v>487</v>
      </c>
      <c r="B12" s="267" t="s">
        <v>427</v>
      </c>
      <c r="C12" s="275"/>
      <c r="D12" s="275"/>
      <c r="E12" s="276"/>
      <c r="F12" s="276"/>
      <c r="G12" s="276"/>
      <c r="H12" s="275"/>
      <c r="I12" s="276"/>
      <c r="J12" s="276"/>
    </row>
    <row r="13" spans="1:12" s="267" customFormat="1" ht="15" customHeight="1" x14ac:dyDescent="0.25">
      <c r="A13" s="269" t="s">
        <v>488</v>
      </c>
      <c r="B13" s="277" t="s">
        <v>428</v>
      </c>
      <c r="C13" s="278">
        <v>500</v>
      </c>
      <c r="D13" s="279">
        <v>25</v>
      </c>
      <c r="E13" s="280" t="s">
        <v>429</v>
      </c>
      <c r="F13" s="280" t="s">
        <v>430</v>
      </c>
      <c r="G13" s="280" t="s">
        <v>430</v>
      </c>
      <c r="H13" s="279">
        <v>25</v>
      </c>
      <c r="I13" s="281">
        <v>0</v>
      </c>
      <c r="J13" s="280" t="s">
        <v>431</v>
      </c>
    </row>
    <row r="14" spans="1:12" s="268" customFormat="1" ht="15" customHeight="1" x14ac:dyDescent="0.25">
      <c r="A14" s="269" t="s">
        <v>489</v>
      </c>
      <c r="B14" s="277" t="s">
        <v>432</v>
      </c>
      <c r="C14" s="278">
        <v>28130</v>
      </c>
      <c r="D14" s="278">
        <v>17378</v>
      </c>
      <c r="E14" s="280" t="s">
        <v>429</v>
      </c>
      <c r="F14" s="280" t="s">
        <v>430</v>
      </c>
      <c r="G14" s="280" t="s">
        <v>430</v>
      </c>
      <c r="H14" s="278">
        <v>2758</v>
      </c>
      <c r="I14" s="281">
        <v>0</v>
      </c>
      <c r="J14" s="280" t="s">
        <v>431</v>
      </c>
    </row>
    <row r="15" spans="1:12" s="270" customFormat="1" ht="16.5" customHeight="1" x14ac:dyDescent="0.25">
      <c r="A15" s="269" t="s">
        <v>490</v>
      </c>
      <c r="B15" s="268" t="s">
        <v>433</v>
      </c>
      <c r="C15" s="282">
        <f>SUM(C13:C14)</f>
        <v>28630</v>
      </c>
      <c r="D15" s="282">
        <f>SUM(D13:D14)</f>
        <v>17403</v>
      </c>
      <c r="E15" s="283"/>
      <c r="F15" s="283"/>
      <c r="G15" s="283"/>
      <c r="H15" s="282">
        <f>SUM(H13:H14)</f>
        <v>2783</v>
      </c>
      <c r="I15" s="281"/>
      <c r="J15" s="280" t="s">
        <v>431</v>
      </c>
      <c r="K15" s="267"/>
      <c r="L15" s="267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34" customWidth="1"/>
    <col min="2" max="2" width="9.85546875" style="134" hidden="1" customWidth="1"/>
    <col min="3" max="3" width="11.7109375" style="134" hidden="1" customWidth="1"/>
    <col min="4" max="4" width="9.85546875" style="134" hidden="1" customWidth="1"/>
    <col min="5" max="5" width="15.85546875" style="13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430" t="s">
        <v>1250</v>
      </c>
      <c r="B1" s="1430"/>
      <c r="C1" s="1430"/>
      <c r="D1" s="1430"/>
      <c r="E1" s="1430"/>
      <c r="F1" s="1430"/>
      <c r="G1" s="1430"/>
      <c r="H1" s="1430"/>
      <c r="I1" s="1430"/>
      <c r="J1" s="699"/>
      <c r="K1" s="699"/>
      <c r="L1" s="699"/>
      <c r="M1" s="699"/>
      <c r="N1" s="699"/>
      <c r="O1" s="699"/>
      <c r="P1" s="699"/>
      <c r="Q1" s="699"/>
      <c r="R1" s="699"/>
    </row>
    <row r="2" spans="1:257" x14ac:dyDescent="0.2">
      <c r="A2" s="700"/>
      <c r="B2" s="700"/>
      <c r="C2" s="700"/>
      <c r="D2" s="700"/>
      <c r="E2" s="701"/>
      <c r="F2" s="1431"/>
      <c r="G2" s="1431"/>
      <c r="H2" s="1431"/>
      <c r="I2" s="1431"/>
      <c r="J2" s="699"/>
      <c r="K2" s="699"/>
      <c r="L2" s="699"/>
      <c r="M2" s="699"/>
      <c r="N2" s="699"/>
      <c r="O2" s="699"/>
      <c r="P2" s="699"/>
      <c r="Q2" s="699"/>
      <c r="R2" s="699"/>
    </row>
    <row r="3" spans="1:257" ht="30" customHeight="1" x14ac:dyDescent="0.2">
      <c r="A3" s="1432" t="s">
        <v>77</v>
      </c>
      <c r="B3" s="1432"/>
      <c r="C3" s="1432"/>
      <c r="D3" s="1432"/>
      <c r="E3" s="1432"/>
      <c r="F3" s="1433"/>
      <c r="G3" s="1433"/>
      <c r="H3" s="1433"/>
      <c r="I3" s="1433"/>
      <c r="J3" s="699"/>
      <c r="K3" s="699"/>
      <c r="L3" s="699"/>
      <c r="M3" s="699"/>
      <c r="N3" s="699"/>
      <c r="O3" s="699"/>
      <c r="P3" s="699"/>
      <c r="Q3" s="699"/>
      <c r="R3" s="699"/>
    </row>
    <row r="4" spans="1:257" ht="33" customHeight="1" thickBot="1" x14ac:dyDescent="0.25">
      <c r="A4" s="1432" t="s">
        <v>1207</v>
      </c>
      <c r="B4" s="1432"/>
      <c r="C4" s="1432"/>
      <c r="D4" s="1432"/>
      <c r="E4" s="1432"/>
      <c r="F4" s="1433"/>
      <c r="G4" s="1433"/>
      <c r="H4" s="1433"/>
      <c r="I4" s="1433"/>
      <c r="J4" s="699"/>
      <c r="K4" s="699"/>
      <c r="L4" s="699"/>
      <c r="M4" s="699"/>
      <c r="N4" s="699"/>
      <c r="O4" s="699"/>
      <c r="P4" s="699"/>
      <c r="Q4" s="699"/>
      <c r="R4" s="699"/>
    </row>
    <row r="5" spans="1:257" ht="30.75" customHeight="1" thickBot="1" x14ac:dyDescent="0.25">
      <c r="A5" s="1434" t="s">
        <v>78</v>
      </c>
      <c r="B5" s="1436" t="s">
        <v>106</v>
      </c>
      <c r="C5" s="1437"/>
      <c r="D5" s="1437"/>
      <c r="E5" s="1437"/>
      <c r="F5" s="1438" t="s">
        <v>1165</v>
      </c>
      <c r="G5" s="1439"/>
      <c r="H5" s="1439"/>
      <c r="I5" s="1440"/>
      <c r="J5" s="699"/>
      <c r="K5" s="699"/>
      <c r="L5" s="699"/>
      <c r="M5" s="699"/>
      <c r="N5" s="699"/>
      <c r="O5" s="699"/>
      <c r="P5" s="699"/>
      <c r="Q5" s="699"/>
      <c r="R5" s="699"/>
    </row>
    <row r="6" spans="1:257" ht="36.75" thickBot="1" x14ac:dyDescent="0.25">
      <c r="A6" s="1435"/>
      <c r="B6" s="702" t="s">
        <v>79</v>
      </c>
      <c r="C6" s="703" t="s">
        <v>80</v>
      </c>
      <c r="D6" s="703" t="s">
        <v>679</v>
      </c>
      <c r="E6" s="704" t="s">
        <v>81</v>
      </c>
      <c r="F6" s="702" t="s">
        <v>79</v>
      </c>
      <c r="G6" s="703" t="s">
        <v>80</v>
      </c>
      <c r="H6" s="703" t="s">
        <v>679</v>
      </c>
      <c r="I6" s="704" t="s">
        <v>81</v>
      </c>
      <c r="J6" s="705"/>
      <c r="K6" s="705"/>
      <c r="L6" s="705"/>
      <c r="M6" s="705"/>
      <c r="N6" s="705"/>
      <c r="O6" s="705"/>
      <c r="P6" s="705"/>
      <c r="Q6" s="705"/>
      <c r="R6" s="705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706" t="s">
        <v>82</v>
      </c>
      <c r="B7" s="707"/>
      <c r="C7" s="707"/>
      <c r="D7" s="707"/>
      <c r="E7" s="707"/>
      <c r="F7" s="708"/>
      <c r="G7" s="708"/>
      <c r="H7" s="708"/>
      <c r="I7" s="708"/>
      <c r="J7" s="709"/>
      <c r="K7" s="699"/>
      <c r="L7" s="699"/>
      <c r="M7" s="699"/>
      <c r="N7" s="699"/>
      <c r="O7" s="699"/>
      <c r="P7" s="699"/>
      <c r="Q7" s="699"/>
      <c r="R7" s="699"/>
    </row>
    <row r="8" spans="1:257" ht="12.75" x14ac:dyDescent="0.2">
      <c r="A8" s="710" t="s">
        <v>817</v>
      </c>
      <c r="B8" s="489"/>
      <c r="C8" s="489"/>
      <c r="D8" s="489"/>
      <c r="E8" s="489"/>
      <c r="F8" s="546"/>
      <c r="G8" s="546"/>
      <c r="H8" s="546"/>
      <c r="I8" s="546"/>
      <c r="J8" s="709"/>
      <c r="K8" s="699"/>
      <c r="L8" s="699"/>
      <c r="M8" s="699"/>
      <c r="N8" s="699"/>
      <c r="O8" s="699"/>
      <c r="P8" s="699"/>
      <c r="Q8" s="699"/>
      <c r="R8" s="699"/>
    </row>
    <row r="9" spans="1:257" ht="36" x14ac:dyDescent="0.2">
      <c r="A9" s="486" t="s">
        <v>818</v>
      </c>
      <c r="B9" s="394">
        <v>4865</v>
      </c>
      <c r="C9" s="487">
        <v>18.690000000000001</v>
      </c>
      <c r="D9" s="394">
        <v>4580000</v>
      </c>
      <c r="E9" s="394">
        <f>C9*D9</f>
        <v>85600200</v>
      </c>
      <c r="F9" s="586" t="s">
        <v>1166</v>
      </c>
      <c r="G9" s="392">
        <v>18.420000000000002</v>
      </c>
      <c r="H9" s="392">
        <v>4580000</v>
      </c>
      <c r="I9" s="393">
        <f>G9*H9</f>
        <v>84363600.000000015</v>
      </c>
      <c r="J9" s="709"/>
      <c r="K9" s="699"/>
      <c r="L9" s="699"/>
      <c r="M9" s="699"/>
      <c r="N9" s="699"/>
      <c r="O9" s="699"/>
      <c r="P9" s="699"/>
      <c r="Q9" s="699"/>
      <c r="R9" s="699"/>
    </row>
    <row r="10" spans="1:257" ht="12.75" x14ac:dyDescent="0.2">
      <c r="A10" s="397" t="s">
        <v>1167</v>
      </c>
      <c r="B10" s="489"/>
      <c r="C10" s="489"/>
      <c r="D10" s="489"/>
      <c r="E10" s="489"/>
      <c r="F10" s="446"/>
      <c r="G10" s="494"/>
      <c r="H10" s="494"/>
      <c r="I10" s="446"/>
      <c r="J10" s="709"/>
      <c r="K10" s="699"/>
      <c r="L10" s="699"/>
      <c r="M10" s="699"/>
      <c r="N10" s="699"/>
      <c r="O10" s="699"/>
      <c r="P10" s="699"/>
      <c r="Q10" s="699"/>
      <c r="R10" s="699"/>
    </row>
    <row r="11" spans="1:257" ht="12.75" x14ac:dyDescent="0.2">
      <c r="A11" s="486" t="s">
        <v>820</v>
      </c>
      <c r="B11" s="489"/>
      <c r="C11" s="498"/>
      <c r="D11" s="489" t="s">
        <v>294</v>
      </c>
      <c r="E11" s="489">
        <v>8328800</v>
      </c>
      <c r="F11" s="711"/>
      <c r="G11" s="494"/>
      <c r="H11" s="392" t="s">
        <v>294</v>
      </c>
      <c r="I11" s="393">
        <v>8329050</v>
      </c>
      <c r="J11" s="709"/>
      <c r="K11" s="699"/>
      <c r="L11" s="699"/>
      <c r="M11" s="699"/>
      <c r="N11" s="699"/>
      <c r="O11" s="699"/>
      <c r="P11" s="699"/>
      <c r="Q11" s="699"/>
      <c r="R11" s="699"/>
    </row>
    <row r="12" spans="1:257" ht="12.75" x14ac:dyDescent="0.2">
      <c r="A12" s="486" t="s">
        <v>1208</v>
      </c>
      <c r="B12" s="394"/>
      <c r="C12" s="395"/>
      <c r="D12" s="394"/>
      <c r="E12" s="394"/>
      <c r="F12" s="393"/>
      <c r="G12" s="392"/>
      <c r="H12" s="392"/>
      <c r="I12" s="393">
        <v>-8329050</v>
      </c>
      <c r="J12" s="709"/>
      <c r="K12" s="699"/>
      <c r="L12" s="699"/>
      <c r="M12" s="699"/>
      <c r="N12" s="699"/>
      <c r="O12" s="699"/>
      <c r="P12" s="699"/>
      <c r="Q12" s="699"/>
      <c r="R12" s="699"/>
    </row>
    <row r="13" spans="1:257" ht="24" x14ac:dyDescent="0.2">
      <c r="A13" s="486" t="s">
        <v>1209</v>
      </c>
      <c r="B13" s="394"/>
      <c r="C13" s="395"/>
      <c r="D13" s="394"/>
      <c r="E13" s="394"/>
      <c r="F13" s="393"/>
      <c r="G13" s="392"/>
      <c r="H13" s="392"/>
      <c r="I13" s="393">
        <f>I11+I12</f>
        <v>0</v>
      </c>
      <c r="J13" s="709"/>
      <c r="K13" s="699"/>
      <c r="L13" s="699"/>
      <c r="M13" s="699"/>
      <c r="N13" s="699"/>
      <c r="O13" s="699"/>
      <c r="P13" s="699"/>
      <c r="Q13" s="699"/>
      <c r="R13" s="699"/>
    </row>
    <row r="14" spans="1:257" ht="12.75" x14ac:dyDescent="0.2">
      <c r="A14" s="397" t="s">
        <v>823</v>
      </c>
      <c r="B14" s="489"/>
      <c r="C14" s="489"/>
      <c r="D14" s="550" t="s">
        <v>295</v>
      </c>
      <c r="E14" s="489">
        <v>18272000</v>
      </c>
      <c r="F14" s="711"/>
      <c r="G14" s="494"/>
      <c r="H14" s="712" t="s">
        <v>295</v>
      </c>
      <c r="I14" s="393">
        <v>18304000</v>
      </c>
      <c r="J14" s="709"/>
      <c r="K14" s="699"/>
      <c r="L14" s="699"/>
      <c r="M14" s="699"/>
      <c r="N14" s="699"/>
      <c r="O14" s="699"/>
      <c r="P14" s="699"/>
      <c r="Q14" s="699"/>
      <c r="R14" s="699"/>
    </row>
    <row r="15" spans="1:257" ht="12.75" x14ac:dyDescent="0.2">
      <c r="A15" s="397" t="s">
        <v>1208</v>
      </c>
      <c r="B15" s="489"/>
      <c r="C15" s="489"/>
      <c r="D15" s="550"/>
      <c r="E15" s="489"/>
      <c r="F15" s="446"/>
      <c r="G15" s="494"/>
      <c r="H15" s="494"/>
      <c r="I15" s="393">
        <v>-18304000</v>
      </c>
      <c r="J15" s="709"/>
      <c r="K15" s="699"/>
      <c r="L15" s="699"/>
      <c r="M15" s="699"/>
      <c r="N15" s="699"/>
      <c r="O15" s="699"/>
      <c r="P15" s="699"/>
      <c r="Q15" s="699"/>
      <c r="R15" s="699"/>
    </row>
    <row r="16" spans="1:257" ht="12.75" x14ac:dyDescent="0.2">
      <c r="A16" s="397" t="s">
        <v>1210</v>
      </c>
      <c r="B16" s="489"/>
      <c r="C16" s="489"/>
      <c r="D16" s="550"/>
      <c r="E16" s="489"/>
      <c r="F16" s="446"/>
      <c r="G16" s="494"/>
      <c r="H16" s="494"/>
      <c r="I16" s="393">
        <f>I14+I15</f>
        <v>0</v>
      </c>
      <c r="J16" s="709"/>
      <c r="K16" s="699"/>
      <c r="L16" s="699"/>
      <c r="M16" s="699"/>
      <c r="N16" s="699"/>
      <c r="O16" s="699"/>
      <c r="P16" s="699"/>
      <c r="Q16" s="699"/>
      <c r="R16" s="699"/>
    </row>
    <row r="17" spans="1:18" ht="12.75" x14ac:dyDescent="0.2">
      <c r="A17" s="397" t="s">
        <v>825</v>
      </c>
      <c r="B17" s="489"/>
      <c r="C17" s="489" t="s">
        <v>1168</v>
      </c>
      <c r="D17" s="490" t="s">
        <v>680</v>
      </c>
      <c r="E17" s="489">
        <v>1355022</v>
      </c>
      <c r="F17" s="711"/>
      <c r="G17" s="489"/>
      <c r="H17" s="490"/>
      <c r="I17" s="393">
        <v>100000</v>
      </c>
      <c r="J17" s="709"/>
      <c r="K17" s="699"/>
      <c r="L17" s="699"/>
      <c r="M17" s="699"/>
      <c r="N17" s="699"/>
      <c r="O17" s="699"/>
      <c r="P17" s="699"/>
      <c r="Q17" s="699"/>
      <c r="R17" s="699"/>
    </row>
    <row r="18" spans="1:18" ht="12.75" x14ac:dyDescent="0.2">
      <c r="A18" s="397" t="s">
        <v>1208</v>
      </c>
      <c r="B18" s="489"/>
      <c r="C18" s="489"/>
      <c r="D18" s="490"/>
      <c r="E18" s="489"/>
      <c r="F18" s="446"/>
      <c r="G18" s="489"/>
      <c r="H18" s="490"/>
      <c r="I18" s="393">
        <v>-100000</v>
      </c>
      <c r="J18" s="709"/>
      <c r="K18" s="699"/>
      <c r="L18" s="699"/>
      <c r="M18" s="699"/>
      <c r="N18" s="699"/>
      <c r="O18" s="699"/>
      <c r="P18" s="699"/>
      <c r="Q18" s="699"/>
      <c r="R18" s="699"/>
    </row>
    <row r="19" spans="1:18" ht="12.75" x14ac:dyDescent="0.2">
      <c r="A19" s="397" t="s">
        <v>1211</v>
      </c>
      <c r="B19" s="489"/>
      <c r="C19" s="489"/>
      <c r="D19" s="490"/>
      <c r="E19" s="489"/>
      <c r="F19" s="446"/>
      <c r="G19" s="489"/>
      <c r="H19" s="490"/>
      <c r="I19" s="393">
        <f>I17+I18</f>
        <v>0</v>
      </c>
      <c r="J19" s="709"/>
      <c r="K19" s="699"/>
      <c r="L19" s="699"/>
      <c r="M19" s="699"/>
      <c r="N19" s="699"/>
      <c r="O19" s="699"/>
      <c r="P19" s="699"/>
      <c r="Q19" s="699"/>
      <c r="R19" s="699"/>
    </row>
    <row r="20" spans="1:18" ht="12.75" x14ac:dyDescent="0.2">
      <c r="A20" s="397" t="s">
        <v>829</v>
      </c>
      <c r="B20" s="489"/>
      <c r="C20" s="498"/>
      <c r="D20" s="550" t="s">
        <v>681</v>
      </c>
      <c r="E20" s="489">
        <v>6369620</v>
      </c>
      <c r="F20" s="711"/>
      <c r="G20" s="494"/>
      <c r="H20" s="488" t="s">
        <v>681</v>
      </c>
      <c r="I20" s="393">
        <v>6212990</v>
      </c>
      <c r="J20" s="709"/>
      <c r="K20" s="699"/>
      <c r="L20" s="699"/>
      <c r="M20" s="699"/>
      <c r="N20" s="699"/>
      <c r="O20" s="699"/>
      <c r="P20" s="699"/>
      <c r="Q20" s="699"/>
      <c r="R20" s="699"/>
    </row>
    <row r="21" spans="1:18" ht="12.75" x14ac:dyDescent="0.2">
      <c r="A21" s="397" t="s">
        <v>1208</v>
      </c>
      <c r="B21" s="489"/>
      <c r="C21" s="498"/>
      <c r="D21" s="550"/>
      <c r="E21" s="489"/>
      <c r="F21" s="446"/>
      <c r="G21" s="494"/>
      <c r="H21" s="550"/>
      <c r="I21" s="393">
        <v>-6212990</v>
      </c>
      <c r="J21" s="709"/>
      <c r="K21" s="699"/>
      <c r="L21" s="699"/>
      <c r="M21" s="699"/>
      <c r="N21" s="699"/>
      <c r="O21" s="699"/>
      <c r="P21" s="699"/>
      <c r="Q21" s="699"/>
      <c r="R21" s="699"/>
    </row>
    <row r="22" spans="1:18" ht="12.75" x14ac:dyDescent="0.2">
      <c r="A22" s="397" t="s">
        <v>1212</v>
      </c>
      <c r="B22" s="489"/>
      <c r="C22" s="498"/>
      <c r="D22" s="550"/>
      <c r="E22" s="489"/>
      <c r="F22" s="446"/>
      <c r="G22" s="494"/>
      <c r="H22" s="550"/>
      <c r="I22" s="393">
        <f>I20+I21</f>
        <v>0</v>
      </c>
      <c r="J22" s="709"/>
      <c r="K22" s="699"/>
      <c r="L22" s="699"/>
      <c r="M22" s="699"/>
      <c r="N22" s="699"/>
      <c r="O22" s="699"/>
      <c r="P22" s="699"/>
      <c r="Q22" s="699"/>
      <c r="R22" s="699"/>
    </row>
    <row r="23" spans="1:18" ht="12.75" x14ac:dyDescent="0.2">
      <c r="A23" s="397" t="s">
        <v>831</v>
      </c>
      <c r="B23" s="489">
        <v>4865</v>
      </c>
      <c r="C23" s="489"/>
      <c r="D23" s="489">
        <v>2700</v>
      </c>
      <c r="E23" s="489">
        <f>B23*D23</f>
        <v>13135500</v>
      </c>
      <c r="F23" s="393">
        <v>4747</v>
      </c>
      <c r="G23" s="392"/>
      <c r="H23" s="394">
        <v>2700</v>
      </c>
      <c r="I23" s="393">
        <f>F23*H23</f>
        <v>12816900</v>
      </c>
      <c r="J23" s="425"/>
      <c r="K23" s="699"/>
      <c r="L23" s="699"/>
      <c r="M23" s="699"/>
      <c r="N23" s="699"/>
      <c r="O23" s="699"/>
      <c r="P23" s="699"/>
      <c r="Q23" s="699"/>
      <c r="R23" s="699"/>
    </row>
    <row r="24" spans="1:18" ht="12.75" x14ac:dyDescent="0.2">
      <c r="A24" s="397" t="s">
        <v>1213</v>
      </c>
      <c r="B24" s="394"/>
      <c r="C24" s="394"/>
      <c r="D24" s="394"/>
      <c r="E24" s="394">
        <v>-13135500</v>
      </c>
      <c r="F24" s="393"/>
      <c r="G24" s="392"/>
      <c r="H24" s="392"/>
      <c r="I24" s="393">
        <v>-12816900</v>
      </c>
      <c r="J24" s="709"/>
      <c r="K24" s="699"/>
      <c r="L24" s="699"/>
      <c r="M24" s="699"/>
      <c r="N24" s="699"/>
      <c r="O24" s="699"/>
      <c r="P24" s="699"/>
      <c r="Q24" s="699"/>
      <c r="R24" s="699"/>
    </row>
    <row r="25" spans="1:18" ht="12.75" x14ac:dyDescent="0.2">
      <c r="A25" s="397" t="s">
        <v>1214</v>
      </c>
      <c r="B25" s="394"/>
      <c r="C25" s="394"/>
      <c r="D25" s="394"/>
      <c r="E25" s="394">
        <f>E23+E24</f>
        <v>0</v>
      </c>
      <c r="F25" s="393"/>
      <c r="G25" s="392"/>
      <c r="H25" s="392"/>
      <c r="I25" s="393">
        <f>I23+I24</f>
        <v>0</v>
      </c>
      <c r="J25" s="709"/>
      <c r="K25" s="699"/>
      <c r="L25" s="699"/>
      <c r="M25" s="699"/>
      <c r="N25" s="699"/>
      <c r="O25" s="699"/>
      <c r="P25" s="699"/>
      <c r="Q25" s="699"/>
      <c r="R25" s="699"/>
    </row>
    <row r="26" spans="1:18" ht="12.75" x14ac:dyDescent="0.2">
      <c r="A26" s="397" t="s">
        <v>834</v>
      </c>
      <c r="B26" s="489">
        <v>10</v>
      </c>
      <c r="C26" s="489"/>
      <c r="D26" s="489" t="s">
        <v>297</v>
      </c>
      <c r="E26" s="492">
        <v>25500</v>
      </c>
      <c r="F26" s="393">
        <v>19</v>
      </c>
      <c r="G26" s="392"/>
      <c r="H26" s="394" t="s">
        <v>297</v>
      </c>
      <c r="I26" s="393">
        <v>48450</v>
      </c>
      <c r="J26" s="709"/>
      <c r="K26" s="699"/>
      <c r="L26" s="699"/>
      <c r="M26" s="699"/>
      <c r="N26" s="699"/>
      <c r="O26" s="699"/>
      <c r="P26" s="699"/>
      <c r="Q26" s="699"/>
      <c r="R26" s="699"/>
    </row>
    <row r="27" spans="1:18" ht="12.75" x14ac:dyDescent="0.2">
      <c r="A27" s="397" t="s">
        <v>1215</v>
      </c>
      <c r="B27" s="489"/>
      <c r="C27" s="489"/>
      <c r="D27" s="489"/>
      <c r="E27" s="489">
        <v>-25500</v>
      </c>
      <c r="F27" s="446"/>
      <c r="G27" s="494"/>
      <c r="H27" s="494"/>
      <c r="I27" s="393">
        <v>-48450</v>
      </c>
      <c r="J27" s="709"/>
      <c r="K27" s="699"/>
      <c r="L27" s="699"/>
      <c r="M27" s="699"/>
      <c r="N27" s="699"/>
      <c r="O27" s="699"/>
      <c r="P27" s="699"/>
      <c r="Q27" s="699"/>
      <c r="R27" s="699"/>
    </row>
    <row r="28" spans="1:18" ht="12.75" x14ac:dyDescent="0.2">
      <c r="A28" s="397" t="s">
        <v>1216</v>
      </c>
      <c r="B28" s="489"/>
      <c r="C28" s="489"/>
      <c r="D28" s="489"/>
      <c r="E28" s="492">
        <v>0</v>
      </c>
      <c r="F28" s="446"/>
      <c r="G28" s="494"/>
      <c r="H28" s="494"/>
      <c r="I28" s="393">
        <f>I26+I27</f>
        <v>0</v>
      </c>
      <c r="J28" s="709"/>
      <c r="K28" s="699"/>
      <c r="L28" s="699"/>
      <c r="M28" s="699"/>
      <c r="N28" s="699"/>
      <c r="O28" s="699"/>
      <c r="P28" s="699"/>
      <c r="Q28" s="699"/>
      <c r="R28" s="699"/>
    </row>
    <row r="29" spans="1:18" ht="12.75" x14ac:dyDescent="0.2">
      <c r="A29" s="397" t="s">
        <v>1169</v>
      </c>
      <c r="B29" s="394"/>
      <c r="C29" s="394">
        <v>487729000</v>
      </c>
      <c r="D29" s="395">
        <v>1.55</v>
      </c>
      <c r="E29" s="394">
        <f>C29*D29</f>
        <v>755979950</v>
      </c>
      <c r="F29" s="393"/>
      <c r="G29" s="393">
        <v>600595988</v>
      </c>
      <c r="H29" s="395">
        <v>1</v>
      </c>
      <c r="I29" s="393">
        <f>G29*H29</f>
        <v>600595988</v>
      </c>
      <c r="J29" s="709"/>
      <c r="K29" s="699"/>
      <c r="L29" s="699"/>
      <c r="M29" s="699"/>
      <c r="N29" s="699"/>
      <c r="O29" s="699"/>
      <c r="P29" s="699"/>
      <c r="Q29" s="699"/>
      <c r="R29" s="699"/>
    </row>
    <row r="30" spans="1:18" ht="12.75" x14ac:dyDescent="0.2">
      <c r="A30" s="397" t="s">
        <v>1213</v>
      </c>
      <c r="B30" s="394"/>
      <c r="C30" s="394"/>
      <c r="D30" s="398"/>
      <c r="E30" s="394">
        <v>-98054262</v>
      </c>
      <c r="F30" s="393"/>
      <c r="G30" s="392"/>
      <c r="H30" s="392"/>
      <c r="I30" s="393">
        <v>-80431412</v>
      </c>
      <c r="J30" s="709"/>
      <c r="K30" s="699"/>
      <c r="L30" s="699"/>
      <c r="M30" s="699"/>
      <c r="N30" s="699"/>
      <c r="O30" s="699"/>
      <c r="P30" s="699"/>
      <c r="Q30" s="699"/>
      <c r="R30" s="699"/>
    </row>
    <row r="31" spans="1:18" ht="12.75" x14ac:dyDescent="0.2">
      <c r="A31" s="397" t="s">
        <v>1217</v>
      </c>
      <c r="B31" s="394"/>
      <c r="C31" s="394"/>
      <c r="D31" s="398"/>
      <c r="E31" s="394">
        <f>E29+E30</f>
        <v>657925688</v>
      </c>
      <c r="F31" s="393"/>
      <c r="G31" s="392"/>
      <c r="H31" s="392"/>
      <c r="I31" s="393">
        <f>I29+I30</f>
        <v>520164576</v>
      </c>
      <c r="J31" s="709"/>
      <c r="K31" s="699"/>
      <c r="L31" s="699"/>
      <c r="M31" s="699"/>
      <c r="N31" s="699"/>
      <c r="O31" s="699"/>
      <c r="P31" s="699"/>
      <c r="Q31" s="699"/>
      <c r="R31" s="699"/>
    </row>
    <row r="32" spans="1:18" ht="36" x14ac:dyDescent="0.2">
      <c r="A32" s="486" t="s">
        <v>1238</v>
      </c>
      <c r="B32" s="489"/>
      <c r="C32" s="489"/>
      <c r="D32" s="489"/>
      <c r="E32" s="489"/>
      <c r="F32" s="446"/>
      <c r="G32" s="494"/>
      <c r="H32" s="494"/>
      <c r="I32" s="446"/>
      <c r="J32" s="709"/>
      <c r="K32" s="495" t="s">
        <v>1218</v>
      </c>
      <c r="M32" s="699"/>
      <c r="N32" s="495">
        <v>135897496</v>
      </c>
      <c r="O32" s="495">
        <v>-9654694</v>
      </c>
      <c r="P32" s="495">
        <f>N32+O32</f>
        <v>126242802</v>
      </c>
      <c r="Q32" s="699"/>
      <c r="R32" s="699"/>
    </row>
    <row r="33" spans="1:19" ht="36" x14ac:dyDescent="0.2">
      <c r="A33" s="486" t="s">
        <v>1239</v>
      </c>
      <c r="B33" s="489"/>
      <c r="C33" s="489"/>
      <c r="D33" s="489"/>
      <c r="E33" s="489"/>
      <c r="F33" s="711"/>
      <c r="G33" s="494"/>
      <c r="H33" s="494"/>
      <c r="I33" s="393">
        <v>0</v>
      </c>
      <c r="J33" s="709"/>
      <c r="K33" s="713"/>
      <c r="M33" s="699"/>
      <c r="N33" s="699"/>
      <c r="O33" s="699"/>
      <c r="P33" s="699"/>
      <c r="Q33" s="699"/>
      <c r="R33" s="699"/>
    </row>
    <row r="34" spans="1:19" ht="36" x14ac:dyDescent="0.2">
      <c r="A34" s="486" t="s">
        <v>1170</v>
      </c>
      <c r="B34" s="489"/>
      <c r="C34" s="489"/>
      <c r="D34" s="489"/>
      <c r="E34" s="489"/>
      <c r="F34" s="586" t="s">
        <v>1171</v>
      </c>
      <c r="G34" s="494"/>
      <c r="H34" s="494"/>
      <c r="I34" s="446"/>
      <c r="J34" s="709"/>
      <c r="K34" s="734">
        <f>I9+I13+I16+I19+I22+I25+I28+I31+I32+I33+I34</f>
        <v>604528176</v>
      </c>
      <c r="L34" s="6" t="s">
        <v>910</v>
      </c>
      <c r="M34" s="699"/>
      <c r="N34" s="699"/>
      <c r="O34" s="699"/>
      <c r="P34" s="699"/>
      <c r="Q34" s="699"/>
      <c r="R34" s="699"/>
    </row>
    <row r="35" spans="1:19" ht="12.75" x14ac:dyDescent="0.2">
      <c r="A35" s="493"/>
      <c r="B35" s="489"/>
      <c r="C35" s="489"/>
      <c r="D35" s="489"/>
      <c r="E35" s="489"/>
      <c r="F35" s="446"/>
      <c r="G35" s="494"/>
      <c r="H35" s="494"/>
      <c r="I35" s="446"/>
      <c r="J35" s="709"/>
      <c r="K35" s="713"/>
      <c r="L35" s="699"/>
      <c r="M35" s="699"/>
      <c r="N35" s="699"/>
      <c r="O35" s="699"/>
      <c r="P35" s="699"/>
      <c r="Q35" s="699"/>
      <c r="R35" s="699"/>
    </row>
    <row r="36" spans="1:19" ht="12.75" x14ac:dyDescent="0.2">
      <c r="A36" s="493"/>
      <c r="B36" s="489"/>
      <c r="C36" s="489"/>
      <c r="D36" s="489"/>
      <c r="E36" s="489"/>
      <c r="F36" s="446"/>
      <c r="G36" s="494"/>
      <c r="H36" s="494"/>
      <c r="I36" s="446"/>
      <c r="J36" s="709"/>
      <c r="K36" s="713"/>
      <c r="L36" s="699"/>
      <c r="M36" s="699"/>
      <c r="N36" s="699"/>
      <c r="O36" s="699"/>
      <c r="P36" s="699"/>
      <c r="Q36" s="699"/>
      <c r="R36" s="699"/>
    </row>
    <row r="37" spans="1:19" ht="12.75" x14ac:dyDescent="0.2">
      <c r="A37" s="496" t="s">
        <v>83</v>
      </c>
      <c r="B37" s="394"/>
      <c r="C37" s="394"/>
      <c r="D37" s="394"/>
      <c r="E37" s="394"/>
      <c r="F37" s="393"/>
      <c r="G37" s="392"/>
      <c r="H37" s="392"/>
      <c r="I37" s="393"/>
      <c r="J37" s="709"/>
      <c r="K37" s="699"/>
      <c r="L37" s="699"/>
      <c r="M37" s="699"/>
      <c r="N37" s="699"/>
      <c r="O37" s="699"/>
      <c r="P37" s="699"/>
      <c r="Q37" s="699"/>
      <c r="R37" s="699"/>
    </row>
    <row r="38" spans="1:19" ht="24" x14ac:dyDescent="0.2">
      <c r="A38" s="486" t="s">
        <v>840</v>
      </c>
      <c r="B38" s="394"/>
      <c r="C38" s="394"/>
      <c r="D38" s="394"/>
      <c r="E38" s="394"/>
      <c r="F38" s="393"/>
      <c r="G38" s="392"/>
      <c r="H38" s="392"/>
      <c r="I38" s="393"/>
      <c r="J38" s="709"/>
      <c r="K38" s="699"/>
      <c r="L38" s="699"/>
      <c r="M38" s="699"/>
      <c r="N38" s="699"/>
      <c r="O38" s="699"/>
      <c r="P38" s="699"/>
      <c r="Q38" s="699"/>
      <c r="R38" s="699"/>
    </row>
    <row r="39" spans="1:19" ht="12.75" x14ac:dyDescent="0.2">
      <c r="A39" s="486" t="s">
        <v>841</v>
      </c>
      <c r="B39" s="394"/>
      <c r="C39" s="395">
        <v>13.1</v>
      </c>
      <c r="D39" s="394">
        <v>4152000</v>
      </c>
      <c r="E39" s="394">
        <f>C39*D39*8/12</f>
        <v>36260800</v>
      </c>
      <c r="F39" s="715" t="s">
        <v>1219</v>
      </c>
      <c r="G39" s="551">
        <v>11.8</v>
      </c>
      <c r="H39" s="716">
        <v>4371500</v>
      </c>
      <c r="I39" s="393">
        <f>G39*8/12*H39</f>
        <v>34389133.333333336</v>
      </c>
      <c r="J39" s="709"/>
      <c r="K39" s="699"/>
      <c r="L39" s="699"/>
      <c r="M39" s="699"/>
      <c r="N39" s="699"/>
      <c r="O39" s="699"/>
      <c r="P39" s="699"/>
      <c r="Q39" s="699"/>
      <c r="R39" s="699"/>
    </row>
    <row r="40" spans="1:19" ht="12.75" x14ac:dyDescent="0.2">
      <c r="A40" s="486" t="s">
        <v>842</v>
      </c>
      <c r="B40" s="394"/>
      <c r="C40" s="395">
        <v>13.1</v>
      </c>
      <c r="D40" s="396">
        <v>4152000</v>
      </c>
      <c r="E40" s="394">
        <f>C40*D40*4/12</f>
        <v>18130400</v>
      </c>
      <c r="F40" s="715" t="s">
        <v>1220</v>
      </c>
      <c r="G40" s="497">
        <v>11.6</v>
      </c>
      <c r="H40" s="393">
        <v>4371500</v>
      </c>
      <c r="I40" s="393">
        <f>G40*4/12*H40</f>
        <v>16903133.333333332</v>
      </c>
      <c r="J40" s="709"/>
      <c r="K40" s="699"/>
      <c r="L40" s="699"/>
      <c r="M40" s="699"/>
      <c r="N40" s="699"/>
      <c r="O40" s="699"/>
      <c r="P40" s="699"/>
      <c r="Q40" s="699"/>
      <c r="R40" s="699"/>
    </row>
    <row r="41" spans="1:19" ht="24" x14ac:dyDescent="0.2">
      <c r="A41" s="486" t="s">
        <v>843</v>
      </c>
      <c r="B41" s="394"/>
      <c r="C41" s="394">
        <v>10</v>
      </c>
      <c r="D41" s="394">
        <v>1800000</v>
      </c>
      <c r="E41" s="394">
        <f>C41*D41*8/12</f>
        <v>12000000</v>
      </c>
      <c r="F41" s="586"/>
      <c r="G41" s="497">
        <v>9</v>
      </c>
      <c r="H41" s="393">
        <v>2205000</v>
      </c>
      <c r="I41" s="393">
        <f>G41*H41*8/12</f>
        <v>13230000</v>
      </c>
      <c r="J41" s="709"/>
      <c r="K41" s="699"/>
      <c r="L41" s="699"/>
      <c r="M41" s="699"/>
      <c r="N41" s="699"/>
      <c r="O41" s="699"/>
      <c r="P41" s="699"/>
      <c r="Q41" s="699"/>
      <c r="R41" s="699"/>
    </row>
    <row r="42" spans="1:19" ht="24" x14ac:dyDescent="0.2">
      <c r="A42" s="486" t="s">
        <v>940</v>
      </c>
      <c r="B42" s="394"/>
      <c r="C42" s="394"/>
      <c r="D42" s="394"/>
      <c r="E42" s="394"/>
      <c r="F42" s="393"/>
      <c r="G42" s="497">
        <v>0</v>
      </c>
      <c r="H42" s="393">
        <v>4371500</v>
      </c>
      <c r="I42" s="393">
        <f>G42*H42*8/12</f>
        <v>0</v>
      </c>
      <c r="J42" s="709"/>
      <c r="K42" s="699"/>
      <c r="L42" s="699"/>
      <c r="M42" s="699"/>
      <c r="N42" s="699"/>
      <c r="O42" s="699"/>
      <c r="P42" s="699"/>
      <c r="Q42" s="699"/>
      <c r="R42" s="699"/>
    </row>
    <row r="43" spans="1:19" ht="24" x14ac:dyDescent="0.2">
      <c r="A43" s="486" t="s">
        <v>845</v>
      </c>
      <c r="B43" s="394"/>
      <c r="C43" s="394">
        <v>10</v>
      </c>
      <c r="D43" s="394">
        <v>1800000</v>
      </c>
      <c r="E43" s="394">
        <f>C43*D43*4/12</f>
        <v>6000000</v>
      </c>
      <c r="F43" s="393"/>
      <c r="G43" s="497">
        <v>9</v>
      </c>
      <c r="H43" s="393">
        <v>2205000</v>
      </c>
      <c r="I43" s="393">
        <f>G43*H43*4/12</f>
        <v>6615000</v>
      </c>
      <c r="J43" s="717"/>
      <c r="K43" s="699"/>
      <c r="L43" s="699"/>
      <c r="M43" s="699"/>
      <c r="N43" s="699"/>
      <c r="O43" s="699"/>
      <c r="P43" s="699"/>
      <c r="Q43" s="699"/>
      <c r="R43" s="699"/>
    </row>
    <row r="44" spans="1:19" ht="60" x14ac:dyDescent="0.2">
      <c r="A44" s="486" t="s">
        <v>941</v>
      </c>
      <c r="B44" s="394"/>
      <c r="C44" s="394"/>
      <c r="D44" s="394"/>
      <c r="E44" s="394"/>
      <c r="F44" s="393"/>
      <c r="G44" s="497">
        <v>0</v>
      </c>
      <c r="H44" s="393">
        <v>4371500</v>
      </c>
      <c r="I44" s="393">
        <f>G44*H44*4/12</f>
        <v>0</v>
      </c>
      <c r="J44" s="717"/>
      <c r="K44" s="593" t="s">
        <v>1172</v>
      </c>
      <c r="L44" s="495">
        <f>I9+I11+I14+I17+I20+I23+I26+I29</f>
        <v>730770978</v>
      </c>
      <c r="M44" s="699"/>
      <c r="N44" s="594" t="s">
        <v>1173</v>
      </c>
      <c r="O44" s="495">
        <v>135897496</v>
      </c>
      <c r="P44" s="495">
        <v>-9654694</v>
      </c>
      <c r="Q44" s="495">
        <f>I12+I15+I18+I21+I24+I27</f>
        <v>-45811390</v>
      </c>
      <c r="R44" s="495">
        <f>O44+Q44+P44</f>
        <v>80431412</v>
      </c>
      <c r="S44" s="594" t="s">
        <v>912</v>
      </c>
    </row>
    <row r="45" spans="1:19" ht="12.75" x14ac:dyDescent="0.2">
      <c r="A45" s="397" t="s">
        <v>848</v>
      </c>
      <c r="B45" s="394"/>
      <c r="C45" s="394"/>
      <c r="D45" s="394"/>
      <c r="E45" s="394"/>
      <c r="F45" s="393"/>
      <c r="G45" s="392"/>
      <c r="H45" s="392"/>
      <c r="I45" s="393"/>
      <c r="J45" s="425"/>
      <c r="K45" s="699"/>
      <c r="L45" s="699"/>
      <c r="M45" s="699"/>
      <c r="N45" s="699"/>
      <c r="O45" s="699"/>
      <c r="P45" s="699"/>
      <c r="Q45" s="699"/>
      <c r="R45" s="699"/>
    </row>
    <row r="46" spans="1:19" ht="24" x14ac:dyDescent="0.2">
      <c r="A46" s="486" t="s">
        <v>942</v>
      </c>
      <c r="B46" s="394"/>
      <c r="C46" s="394">
        <v>142</v>
      </c>
      <c r="D46" s="394">
        <v>70000</v>
      </c>
      <c r="E46" s="394">
        <f>C46*D46*8/12</f>
        <v>6626666.666666667</v>
      </c>
      <c r="F46" s="586"/>
      <c r="G46" s="393">
        <v>128</v>
      </c>
      <c r="H46" s="394">
        <v>97400</v>
      </c>
      <c r="I46" s="393">
        <f>G46*H46*8/12</f>
        <v>8311466.666666667</v>
      </c>
      <c r="J46" s="425"/>
      <c r="K46" s="699"/>
      <c r="L46" s="699"/>
      <c r="M46" s="699"/>
      <c r="N46" s="699"/>
      <c r="O46" s="699"/>
      <c r="P46" s="699"/>
      <c r="Q46" s="699"/>
      <c r="R46" s="699"/>
    </row>
    <row r="47" spans="1:19" ht="24" x14ac:dyDescent="0.2">
      <c r="A47" s="486" t="s">
        <v>1174</v>
      </c>
      <c r="B47" s="394"/>
      <c r="C47" s="394">
        <v>142</v>
      </c>
      <c r="D47" s="394">
        <v>70000</v>
      </c>
      <c r="E47" s="394">
        <f>C47*D47*4/12</f>
        <v>3313333.3333333335</v>
      </c>
      <c r="F47" s="586"/>
      <c r="G47" s="393">
        <v>130</v>
      </c>
      <c r="H47" s="394">
        <v>97400</v>
      </c>
      <c r="I47" s="393">
        <f>G47*H47*4/12</f>
        <v>4220666.666666667</v>
      </c>
      <c r="J47" s="709"/>
      <c r="K47" s="699"/>
      <c r="L47" s="699"/>
      <c r="M47" s="699"/>
      <c r="N47" s="699"/>
      <c r="O47" s="699"/>
      <c r="P47" s="699"/>
      <c r="Q47" s="699"/>
      <c r="R47" s="699"/>
    </row>
    <row r="48" spans="1:19" ht="12.75" x14ac:dyDescent="0.2">
      <c r="A48" s="397" t="s">
        <v>898</v>
      </c>
      <c r="B48" s="394"/>
      <c r="C48" s="394"/>
      <c r="D48" s="394"/>
      <c r="E48" s="394"/>
      <c r="F48" s="393"/>
      <c r="G48" s="392"/>
      <c r="H48" s="392"/>
      <c r="I48" s="393"/>
      <c r="J48" s="709"/>
      <c r="K48" s="699"/>
      <c r="L48" s="699"/>
      <c r="M48" s="699"/>
      <c r="N48" s="699"/>
      <c r="O48" s="699"/>
      <c r="P48" s="699"/>
      <c r="Q48" s="699"/>
      <c r="R48" s="699"/>
    </row>
    <row r="49" spans="1:18" ht="48" x14ac:dyDescent="0.2">
      <c r="A49" s="486" t="s">
        <v>1175</v>
      </c>
      <c r="B49" s="394"/>
      <c r="C49" s="394">
        <v>5</v>
      </c>
      <c r="D49" s="501" t="s">
        <v>298</v>
      </c>
      <c r="E49" s="394">
        <v>1760000</v>
      </c>
      <c r="F49" s="393"/>
      <c r="G49" s="392">
        <v>4</v>
      </c>
      <c r="H49" s="393">
        <v>396700</v>
      </c>
      <c r="I49" s="393">
        <f>G49*H49</f>
        <v>1586800</v>
      </c>
      <c r="J49" s="709"/>
      <c r="K49" s="699"/>
      <c r="L49" s="699"/>
      <c r="M49" s="699"/>
      <c r="N49" s="699"/>
      <c r="O49" s="699"/>
      <c r="P49" s="699"/>
      <c r="Q49" s="699"/>
      <c r="R49" s="699"/>
    </row>
    <row r="50" spans="1:18" ht="48" x14ac:dyDescent="0.2">
      <c r="A50" s="486" t="s">
        <v>1176</v>
      </c>
      <c r="B50" s="394"/>
      <c r="C50" s="394"/>
      <c r="D50" s="394"/>
      <c r="E50" s="394"/>
      <c r="F50" s="393"/>
      <c r="G50" s="392">
        <v>0</v>
      </c>
      <c r="H50" s="393">
        <v>363642</v>
      </c>
      <c r="I50" s="393">
        <f>G50*H50</f>
        <v>0</v>
      </c>
      <c r="J50" s="709"/>
      <c r="K50" s="495"/>
      <c r="M50" s="699"/>
      <c r="N50" s="699"/>
      <c r="O50" s="699"/>
      <c r="P50" s="699"/>
      <c r="Q50" s="699"/>
      <c r="R50" s="699"/>
    </row>
    <row r="51" spans="1:18" ht="12.75" x14ac:dyDescent="0.2">
      <c r="A51" s="486" t="s">
        <v>1177</v>
      </c>
      <c r="B51" s="394"/>
      <c r="C51" s="394"/>
      <c r="D51" s="394"/>
      <c r="E51" s="394"/>
      <c r="F51" s="393"/>
      <c r="G51" s="392">
        <v>0</v>
      </c>
      <c r="H51" s="393">
        <v>563000</v>
      </c>
      <c r="I51" s="393">
        <f>G51*H51</f>
        <v>0</v>
      </c>
      <c r="J51" s="709"/>
      <c r="K51" s="734">
        <f>SUM(I39:I51)</f>
        <v>85256200.000000015</v>
      </c>
      <c r="L51" s="6" t="s">
        <v>913</v>
      </c>
      <c r="M51" s="699"/>
      <c r="N51" s="699"/>
      <c r="O51" s="699"/>
      <c r="P51" s="699"/>
      <c r="Q51" s="699"/>
      <c r="R51" s="699"/>
    </row>
    <row r="52" spans="1:18" ht="12.75" x14ac:dyDescent="0.2">
      <c r="A52" s="500"/>
      <c r="B52" s="489"/>
      <c r="C52" s="489"/>
      <c r="D52" s="489"/>
      <c r="E52" s="489"/>
      <c r="F52" s="446"/>
      <c r="G52" s="494"/>
      <c r="H52" s="494"/>
      <c r="I52" s="446"/>
      <c r="J52" s="709"/>
      <c r="K52" s="713"/>
      <c r="L52" s="699"/>
      <c r="M52" s="699"/>
      <c r="N52" s="699"/>
      <c r="O52" s="699"/>
      <c r="P52" s="699"/>
      <c r="Q52" s="699"/>
      <c r="R52" s="699"/>
    </row>
    <row r="53" spans="1:18" ht="12.75" x14ac:dyDescent="0.2">
      <c r="A53" s="496" t="s">
        <v>84</v>
      </c>
      <c r="B53" s="489"/>
      <c r="C53" s="489"/>
      <c r="D53" s="489"/>
      <c r="E53" s="489"/>
      <c r="F53" s="446"/>
      <c r="G53" s="494"/>
      <c r="H53" s="494"/>
      <c r="I53" s="446"/>
      <c r="J53" s="709"/>
      <c r="K53" s="699"/>
      <c r="L53" s="699"/>
      <c r="M53" s="699"/>
      <c r="N53" s="699"/>
      <c r="O53" s="699"/>
      <c r="P53" s="699"/>
      <c r="Q53" s="699"/>
      <c r="R53" s="699"/>
    </row>
    <row r="54" spans="1:18" ht="36" x14ac:dyDescent="0.2">
      <c r="A54" s="397" t="s">
        <v>1178</v>
      </c>
      <c r="B54" s="489"/>
      <c r="C54" s="489"/>
      <c r="D54" s="489"/>
      <c r="E54" s="489">
        <v>0</v>
      </c>
      <c r="F54" s="586" t="s">
        <v>1171</v>
      </c>
      <c r="G54" s="494"/>
      <c r="H54" s="494"/>
      <c r="I54" s="393">
        <v>0</v>
      </c>
      <c r="J54" s="718"/>
      <c r="K54" s="699"/>
      <c r="L54" s="699"/>
      <c r="M54" s="699"/>
      <c r="N54" s="699"/>
      <c r="O54" s="699"/>
      <c r="P54" s="699"/>
      <c r="Q54" s="699"/>
      <c r="R54" s="699"/>
    </row>
    <row r="55" spans="1:18" ht="24" x14ac:dyDescent="0.2">
      <c r="A55" s="486" t="s">
        <v>1179</v>
      </c>
      <c r="B55" s="489"/>
      <c r="C55" s="489"/>
      <c r="D55" s="489"/>
      <c r="E55" s="492">
        <v>0</v>
      </c>
      <c r="F55" s="446"/>
      <c r="G55" s="494"/>
      <c r="H55" s="494"/>
      <c r="I55" s="393">
        <v>0</v>
      </c>
      <c r="J55" s="709"/>
      <c r="K55" s="699"/>
      <c r="L55" s="699"/>
      <c r="M55" s="699"/>
      <c r="N55" s="699"/>
      <c r="O55" s="699"/>
      <c r="P55" s="699"/>
      <c r="Q55" s="699"/>
      <c r="R55" s="699"/>
    </row>
    <row r="56" spans="1:18" ht="12.75" x14ac:dyDescent="0.2">
      <c r="A56" s="397" t="s">
        <v>859</v>
      </c>
      <c r="B56" s="489"/>
      <c r="C56" s="489"/>
      <c r="D56" s="489"/>
      <c r="E56" s="489"/>
      <c r="F56" s="446"/>
      <c r="G56" s="494"/>
      <c r="H56" s="494"/>
      <c r="I56" s="446"/>
      <c r="J56" s="709"/>
      <c r="K56" s="699"/>
      <c r="L56" s="699"/>
      <c r="M56" s="699"/>
      <c r="N56" s="699"/>
      <c r="O56" s="699"/>
      <c r="P56" s="699"/>
      <c r="Q56" s="699"/>
      <c r="R56" s="699"/>
    </row>
    <row r="57" spans="1:18" ht="12.75" x14ac:dyDescent="0.2">
      <c r="A57" s="397" t="s">
        <v>860</v>
      </c>
      <c r="B57" s="489"/>
      <c r="C57" s="489"/>
      <c r="D57" s="489"/>
      <c r="E57" s="489"/>
      <c r="F57" s="446"/>
      <c r="G57" s="494"/>
      <c r="H57" s="494"/>
      <c r="I57" s="446"/>
      <c r="J57" s="709"/>
      <c r="K57" s="699"/>
      <c r="L57" s="699"/>
      <c r="M57" s="699"/>
      <c r="N57" s="699"/>
      <c r="O57" s="699"/>
      <c r="P57" s="699"/>
      <c r="Q57" s="699"/>
      <c r="R57" s="699"/>
    </row>
    <row r="58" spans="1:18" ht="12.75" x14ac:dyDescent="0.2">
      <c r="A58" s="397" t="s">
        <v>861</v>
      </c>
      <c r="B58" s="489"/>
      <c r="C58" s="489"/>
      <c r="D58" s="489"/>
      <c r="E58" s="489"/>
      <c r="F58" s="446"/>
      <c r="G58" s="494"/>
      <c r="H58" s="494"/>
      <c r="I58" s="446"/>
      <c r="J58" s="709"/>
      <c r="K58" s="699"/>
      <c r="L58" s="699"/>
      <c r="M58" s="699"/>
      <c r="N58" s="699"/>
      <c r="O58" s="699"/>
      <c r="P58" s="699"/>
      <c r="Q58" s="699"/>
      <c r="R58" s="699"/>
    </row>
    <row r="59" spans="1:18" ht="12.75" x14ac:dyDescent="0.2">
      <c r="A59" s="500" t="s">
        <v>1221</v>
      </c>
      <c r="B59" s="493"/>
      <c r="C59" s="502"/>
      <c r="D59" s="489"/>
      <c r="E59" s="489">
        <f>C59*D59/2</f>
        <v>0</v>
      </c>
      <c r="F59" s="394"/>
      <c r="G59" s="503"/>
      <c r="H59" s="494"/>
      <c r="I59" s="446"/>
      <c r="J59" s="718"/>
      <c r="K59" s="699"/>
      <c r="L59" s="699"/>
      <c r="M59" s="699"/>
      <c r="N59" s="699"/>
      <c r="O59" s="699"/>
      <c r="P59" s="699"/>
      <c r="Q59" s="699"/>
      <c r="R59" s="699"/>
    </row>
    <row r="60" spans="1:18" ht="24" x14ac:dyDescent="0.2">
      <c r="A60" s="486" t="s">
        <v>899</v>
      </c>
      <c r="B60" s="394"/>
      <c r="C60" s="397"/>
      <c r="D60" s="394"/>
      <c r="E60" s="394"/>
      <c r="F60" s="393"/>
      <c r="G60" s="399">
        <v>0</v>
      </c>
      <c r="H60" s="392"/>
      <c r="I60" s="393"/>
      <c r="J60" s="718"/>
      <c r="K60" s="699"/>
      <c r="L60" s="699"/>
      <c r="M60" s="699"/>
      <c r="N60" s="699"/>
      <c r="O60" s="699"/>
      <c r="P60" s="699"/>
      <c r="Q60" s="699"/>
      <c r="R60" s="699"/>
    </row>
    <row r="61" spans="1:18" ht="24" x14ac:dyDescent="0.2">
      <c r="A61" s="486" t="s">
        <v>1180</v>
      </c>
      <c r="B61" s="394"/>
      <c r="C61" s="397"/>
      <c r="D61" s="394"/>
      <c r="E61" s="394"/>
      <c r="F61" s="393"/>
      <c r="G61" s="398">
        <v>1</v>
      </c>
      <c r="H61" s="392"/>
      <c r="I61" s="393"/>
      <c r="J61" s="709"/>
      <c r="K61" s="699"/>
      <c r="L61" s="699"/>
      <c r="M61" s="699"/>
      <c r="N61" s="699"/>
      <c r="O61" s="699"/>
      <c r="P61" s="699"/>
      <c r="Q61" s="699"/>
      <c r="R61" s="699"/>
    </row>
    <row r="62" spans="1:18" ht="12.75" x14ac:dyDescent="0.2">
      <c r="A62" s="397" t="s">
        <v>865</v>
      </c>
      <c r="B62" s="394"/>
      <c r="C62" s="719">
        <v>0.97299999999999998</v>
      </c>
      <c r="D62" s="394">
        <v>3000000</v>
      </c>
      <c r="E62" s="394"/>
      <c r="F62" s="393"/>
      <c r="G62" s="398">
        <v>2</v>
      </c>
      <c r="H62" s="394">
        <v>3000000</v>
      </c>
      <c r="I62" s="393">
        <f>(2*1+0)*H62</f>
        <v>6000000</v>
      </c>
      <c r="J62" s="709"/>
      <c r="K62" s="699"/>
      <c r="L62" s="699"/>
      <c r="M62" s="699"/>
      <c r="N62" s="699"/>
      <c r="O62" s="699"/>
      <c r="P62" s="699"/>
      <c r="Q62" s="699"/>
      <c r="R62" s="699"/>
    </row>
    <row r="63" spans="1:18" ht="12.75" x14ac:dyDescent="0.2">
      <c r="A63" s="397" t="s">
        <v>1181</v>
      </c>
      <c r="B63" s="554"/>
      <c r="C63" s="394">
        <v>80</v>
      </c>
      <c r="D63" s="394">
        <v>55360</v>
      </c>
      <c r="E63" s="394">
        <f>C63*D63</f>
        <v>4428800</v>
      </c>
      <c r="F63" s="586"/>
      <c r="G63" s="394">
        <v>73</v>
      </c>
      <c r="H63" s="394">
        <v>55360</v>
      </c>
      <c r="I63" s="394">
        <f>G63*H63</f>
        <v>4041280</v>
      </c>
      <c r="J63" s="709"/>
      <c r="K63" s="699"/>
      <c r="L63" s="699"/>
      <c r="M63" s="699"/>
      <c r="N63" s="699"/>
      <c r="O63" s="699"/>
      <c r="P63" s="699"/>
      <c r="Q63" s="699"/>
      <c r="R63" s="699"/>
    </row>
    <row r="64" spans="1:18" ht="12.75" x14ac:dyDescent="0.2">
      <c r="A64" s="397" t="s">
        <v>1182</v>
      </c>
      <c r="B64" s="505"/>
      <c r="C64" s="489">
        <v>55</v>
      </c>
      <c r="D64" s="489">
        <v>145000</v>
      </c>
      <c r="E64" s="489">
        <f>C64*D64</f>
        <v>7975000</v>
      </c>
      <c r="F64" s="446"/>
      <c r="G64" s="489"/>
      <c r="H64" s="489"/>
      <c r="I64" s="489"/>
      <c r="J64" s="709"/>
      <c r="K64" s="699"/>
      <c r="L64" s="699"/>
      <c r="M64" s="699"/>
      <c r="N64" s="699"/>
      <c r="O64" s="699"/>
      <c r="P64" s="699"/>
      <c r="Q64" s="699"/>
      <c r="R64" s="699"/>
    </row>
    <row r="65" spans="1:18" ht="12.75" x14ac:dyDescent="0.2">
      <c r="A65" s="397" t="s">
        <v>901</v>
      </c>
      <c r="B65" s="554"/>
      <c r="C65" s="394"/>
      <c r="D65" s="394"/>
      <c r="E65" s="394"/>
      <c r="F65" s="586"/>
      <c r="G65" s="394">
        <v>2</v>
      </c>
      <c r="H65" s="394">
        <v>25000</v>
      </c>
      <c r="I65" s="394">
        <f>G65*H65</f>
        <v>50000</v>
      </c>
      <c r="J65" s="709"/>
      <c r="K65" s="699"/>
      <c r="L65" s="699"/>
      <c r="M65" s="699"/>
      <c r="N65" s="699"/>
      <c r="O65" s="699"/>
      <c r="P65" s="699"/>
      <c r="Q65" s="699"/>
      <c r="R65" s="699"/>
    </row>
    <row r="66" spans="1:18" ht="12.75" x14ac:dyDescent="0.2">
      <c r="A66" s="397" t="s">
        <v>902</v>
      </c>
      <c r="B66" s="554"/>
      <c r="C66" s="394"/>
      <c r="D66" s="394"/>
      <c r="E66" s="394"/>
      <c r="F66" s="586"/>
      <c r="G66" s="394">
        <v>52</v>
      </c>
      <c r="H66" s="394">
        <v>210000</v>
      </c>
      <c r="I66" s="394">
        <f>G66*H66</f>
        <v>10920000</v>
      </c>
      <c r="J66" s="709"/>
      <c r="K66" s="699"/>
      <c r="L66" s="699"/>
      <c r="M66" s="699"/>
      <c r="N66" s="699"/>
      <c r="O66" s="699"/>
      <c r="P66" s="699"/>
      <c r="Q66" s="699"/>
      <c r="R66" s="699"/>
    </row>
    <row r="67" spans="1:18" ht="12.75" x14ac:dyDescent="0.2">
      <c r="A67" s="486" t="s">
        <v>1183</v>
      </c>
      <c r="B67" s="553"/>
      <c r="C67" s="394">
        <v>23</v>
      </c>
      <c r="D67" s="394">
        <v>109000</v>
      </c>
      <c r="E67" s="394">
        <f>C67*D67</f>
        <v>2507000</v>
      </c>
      <c r="F67" s="393"/>
      <c r="G67" s="394">
        <v>25</v>
      </c>
      <c r="H67" s="394">
        <v>109000</v>
      </c>
      <c r="I67" s="394">
        <f>G67*H67</f>
        <v>2725000</v>
      </c>
      <c r="J67" s="709"/>
      <c r="K67" s="699"/>
      <c r="L67" s="699"/>
      <c r="M67" s="699"/>
      <c r="N67" s="699"/>
      <c r="O67" s="699"/>
      <c r="P67" s="699"/>
      <c r="Q67" s="699"/>
      <c r="R67" s="699"/>
    </row>
    <row r="68" spans="1:18" ht="12.75" x14ac:dyDescent="0.2">
      <c r="A68" s="486" t="s">
        <v>1184</v>
      </c>
      <c r="B68" s="553"/>
      <c r="C68" s="394"/>
      <c r="D68" s="394"/>
      <c r="E68" s="394"/>
      <c r="F68" s="393"/>
      <c r="G68" s="394"/>
      <c r="H68" s="394"/>
      <c r="I68" s="394"/>
      <c r="J68" s="709"/>
      <c r="K68" s="699"/>
      <c r="L68" s="699"/>
      <c r="M68" s="699"/>
      <c r="N68" s="699"/>
      <c r="O68" s="699"/>
      <c r="P68" s="699"/>
      <c r="Q68" s="699"/>
      <c r="R68" s="699"/>
    </row>
    <row r="69" spans="1:18" ht="24" x14ac:dyDescent="0.2">
      <c r="A69" s="486" t="s">
        <v>1185</v>
      </c>
      <c r="B69" s="553"/>
      <c r="C69" s="394"/>
      <c r="D69" s="394"/>
      <c r="E69" s="394"/>
      <c r="F69" s="393"/>
      <c r="G69" s="398">
        <v>2</v>
      </c>
      <c r="H69" s="394">
        <v>400000</v>
      </c>
      <c r="I69" s="394">
        <f>G69*H69</f>
        <v>800000</v>
      </c>
      <c r="J69" s="709"/>
      <c r="K69" s="699"/>
      <c r="L69" s="699"/>
      <c r="M69" s="699"/>
      <c r="N69" s="699"/>
      <c r="O69" s="699"/>
      <c r="P69" s="699"/>
      <c r="Q69" s="699"/>
      <c r="R69" s="699"/>
    </row>
    <row r="70" spans="1:18" ht="24" x14ac:dyDescent="0.2">
      <c r="A70" s="486" t="s">
        <v>1186</v>
      </c>
      <c r="B70" s="553"/>
      <c r="C70" s="394"/>
      <c r="D70" s="394"/>
      <c r="E70" s="394"/>
      <c r="F70" s="393"/>
      <c r="G70" s="394">
        <v>52</v>
      </c>
      <c r="H70" s="394">
        <v>120000</v>
      </c>
      <c r="I70" s="394">
        <f>G70*H70</f>
        <v>6240000</v>
      </c>
      <c r="J70" s="709"/>
      <c r="K70" s="699"/>
      <c r="L70" s="699"/>
      <c r="M70" s="699"/>
      <c r="N70" s="699"/>
      <c r="O70" s="699"/>
      <c r="P70" s="699"/>
      <c r="Q70" s="699"/>
      <c r="R70" s="699"/>
    </row>
    <row r="71" spans="1:18" ht="24" x14ac:dyDescent="0.2">
      <c r="A71" s="486" t="s">
        <v>1187</v>
      </c>
      <c r="B71" s="554"/>
      <c r="C71" s="394"/>
      <c r="D71" s="394"/>
      <c r="E71" s="394"/>
      <c r="F71" s="393"/>
      <c r="G71" s="392"/>
      <c r="H71" s="392"/>
      <c r="I71" s="610"/>
      <c r="J71" s="709"/>
      <c r="K71" s="699"/>
      <c r="L71" s="699"/>
      <c r="M71" s="699"/>
      <c r="N71" s="699"/>
      <c r="O71" s="699"/>
      <c r="P71" s="699"/>
      <c r="Q71" s="699"/>
      <c r="R71" s="699"/>
    </row>
    <row r="72" spans="1:18" ht="24" x14ac:dyDescent="0.2">
      <c r="A72" s="486" t="s">
        <v>1222</v>
      </c>
      <c r="B72" s="554"/>
      <c r="C72" s="394">
        <v>15</v>
      </c>
      <c r="D72" s="394">
        <v>2606040</v>
      </c>
      <c r="E72" s="394">
        <f>C72*D72</f>
        <v>39090600</v>
      </c>
      <c r="F72" s="586"/>
      <c r="G72" s="394">
        <v>15</v>
      </c>
      <c r="H72" s="394">
        <v>2606040</v>
      </c>
      <c r="I72" s="394">
        <f>G72*H72</f>
        <v>39090600</v>
      </c>
      <c r="J72" s="709"/>
      <c r="K72" s="699"/>
      <c r="L72" s="699"/>
      <c r="M72" s="699"/>
      <c r="N72" s="699"/>
      <c r="O72" s="699"/>
      <c r="P72" s="699"/>
      <c r="Q72" s="699"/>
      <c r="R72" s="699"/>
    </row>
    <row r="73" spans="1:18" ht="12.75" x14ac:dyDescent="0.2">
      <c r="A73" s="397" t="s">
        <v>1188</v>
      </c>
      <c r="B73" s="505"/>
      <c r="C73" s="489"/>
      <c r="D73" s="489"/>
      <c r="E73" s="492">
        <v>37834000</v>
      </c>
      <c r="F73" s="714"/>
      <c r="G73" s="494"/>
      <c r="H73" s="494"/>
      <c r="I73" s="393">
        <v>40329000</v>
      </c>
      <c r="J73" s="720"/>
      <c r="K73" s="699"/>
      <c r="L73" s="699"/>
      <c r="M73" s="699"/>
      <c r="N73" s="699"/>
      <c r="O73" s="699"/>
      <c r="P73" s="699"/>
      <c r="Q73" s="699"/>
      <c r="R73" s="699"/>
    </row>
    <row r="74" spans="1:18" ht="12.75" x14ac:dyDescent="0.2">
      <c r="A74" s="397" t="s">
        <v>1189</v>
      </c>
      <c r="B74" s="505"/>
      <c r="C74" s="489"/>
      <c r="D74" s="489"/>
      <c r="E74" s="492"/>
      <c r="F74" s="714"/>
      <c r="G74" s="721">
        <v>15</v>
      </c>
      <c r="H74" s="393">
        <v>241960</v>
      </c>
      <c r="I74" s="393">
        <f>G74*H74</f>
        <v>3629400</v>
      </c>
      <c r="J74" s="720"/>
      <c r="K74" s="699"/>
      <c r="L74" s="699"/>
      <c r="M74" s="699"/>
      <c r="N74" s="699"/>
      <c r="O74" s="699"/>
      <c r="P74" s="699"/>
      <c r="Q74" s="699"/>
      <c r="R74" s="699"/>
    </row>
    <row r="75" spans="1:18" ht="12.75" x14ac:dyDescent="0.2">
      <c r="A75" s="397" t="s">
        <v>1190</v>
      </c>
      <c r="B75" s="554"/>
      <c r="C75" s="394"/>
      <c r="D75" s="394"/>
      <c r="E75" s="394"/>
      <c r="F75" s="393"/>
      <c r="G75" s="392"/>
      <c r="H75" s="392"/>
      <c r="I75" s="610"/>
      <c r="J75" s="709"/>
      <c r="K75" s="699"/>
      <c r="L75" s="699"/>
      <c r="M75" s="699"/>
      <c r="N75" s="699"/>
      <c r="O75" s="699"/>
      <c r="P75" s="699"/>
      <c r="Q75" s="699"/>
      <c r="R75" s="699"/>
    </row>
    <row r="76" spans="1:18" ht="12.75" x14ac:dyDescent="0.2">
      <c r="A76" s="397" t="s">
        <v>1191</v>
      </c>
      <c r="B76" s="554"/>
      <c r="C76" s="394"/>
      <c r="D76" s="394"/>
      <c r="E76" s="394"/>
      <c r="F76" s="393"/>
      <c r="G76" s="392"/>
      <c r="H76" s="392"/>
      <c r="I76" s="610"/>
      <c r="J76" s="709"/>
      <c r="K76" s="699"/>
      <c r="L76" s="699"/>
      <c r="M76" s="699"/>
      <c r="N76" s="699"/>
      <c r="O76" s="699"/>
      <c r="P76" s="699"/>
      <c r="Q76" s="699"/>
      <c r="R76" s="699"/>
    </row>
    <row r="77" spans="1:18" ht="12.75" x14ac:dyDescent="0.2">
      <c r="A77" s="397" t="s">
        <v>1192</v>
      </c>
      <c r="B77" s="394"/>
      <c r="C77" s="395">
        <v>12.33</v>
      </c>
      <c r="D77" s="394">
        <v>1632000</v>
      </c>
      <c r="E77" s="394">
        <f>C77*D77</f>
        <v>20122560</v>
      </c>
      <c r="F77" s="631" t="s">
        <v>1223</v>
      </c>
      <c r="G77" s="395">
        <v>14.29</v>
      </c>
      <c r="H77" s="394">
        <v>1900000</v>
      </c>
      <c r="I77" s="394">
        <f>G77*H77</f>
        <v>27151000</v>
      </c>
      <c r="J77" s="722"/>
      <c r="K77" s="699"/>
      <c r="L77" s="699"/>
      <c r="M77" s="699"/>
      <c r="N77" s="699"/>
      <c r="O77" s="699"/>
      <c r="P77" s="699"/>
      <c r="Q77" s="699"/>
      <c r="R77" s="699"/>
    </row>
    <row r="78" spans="1:18" ht="12.75" x14ac:dyDescent="0.2">
      <c r="A78" s="397" t="s">
        <v>1193</v>
      </c>
      <c r="B78" s="489"/>
      <c r="C78" s="489"/>
      <c r="D78" s="489"/>
      <c r="E78" s="492">
        <v>7038795</v>
      </c>
      <c r="F78" s="714"/>
      <c r="G78" s="494"/>
      <c r="H78" s="494"/>
      <c r="I78" s="393">
        <v>22570116</v>
      </c>
      <c r="J78" s="723"/>
      <c r="K78" s="699"/>
      <c r="L78" s="699"/>
      <c r="M78" s="699"/>
      <c r="N78" s="699"/>
      <c r="O78" s="699"/>
      <c r="P78" s="699"/>
      <c r="Q78" s="699"/>
      <c r="R78" s="699"/>
    </row>
    <row r="79" spans="1:18" ht="24" x14ac:dyDescent="0.2">
      <c r="A79" s="486" t="s">
        <v>1194</v>
      </c>
      <c r="B79" s="394"/>
      <c r="C79" s="394"/>
      <c r="D79" s="394"/>
      <c r="E79" s="394"/>
      <c r="F79" s="586"/>
      <c r="G79" s="393">
        <v>136</v>
      </c>
      <c r="H79" s="393">
        <v>285</v>
      </c>
      <c r="I79" s="393">
        <f>G79*H79</f>
        <v>38760</v>
      </c>
      <c r="J79" s="709"/>
      <c r="K79" s="699"/>
      <c r="L79" s="699"/>
      <c r="M79" s="699"/>
      <c r="N79" s="699"/>
      <c r="O79" s="699"/>
      <c r="P79" s="699"/>
      <c r="Q79" s="699"/>
      <c r="R79" s="699"/>
    </row>
    <row r="80" spans="1:18" ht="12.75" x14ac:dyDescent="0.2">
      <c r="A80" s="486" t="s">
        <v>1195</v>
      </c>
      <c r="B80" s="394"/>
      <c r="C80" s="394"/>
      <c r="D80" s="394"/>
      <c r="E80" s="724"/>
      <c r="F80" s="586"/>
      <c r="G80" s="551"/>
      <c r="H80" s="393"/>
      <c r="I80" s="393"/>
      <c r="J80" s="709"/>
      <c r="K80" s="713"/>
      <c r="L80" s="699"/>
      <c r="M80" s="699"/>
      <c r="N80" s="699"/>
      <c r="O80" s="699"/>
      <c r="P80" s="699"/>
      <c r="Q80" s="699"/>
      <c r="R80" s="699"/>
    </row>
    <row r="81" spans="1:257" ht="12.75" x14ac:dyDescent="0.2">
      <c r="A81" s="486" t="s">
        <v>1196</v>
      </c>
      <c r="B81" s="394"/>
      <c r="C81" s="394"/>
      <c r="D81" s="394"/>
      <c r="E81" s="724"/>
      <c r="F81" s="586"/>
      <c r="G81" s="551"/>
      <c r="H81" s="393"/>
      <c r="I81" s="393"/>
      <c r="J81" s="709"/>
      <c r="K81" s="713"/>
      <c r="L81" s="699"/>
      <c r="M81" s="699"/>
      <c r="N81" s="699"/>
      <c r="O81" s="699"/>
      <c r="P81" s="699"/>
      <c r="Q81" s="699"/>
      <c r="R81" s="699"/>
    </row>
    <row r="82" spans="1:257" ht="12.75" x14ac:dyDescent="0.2">
      <c r="A82" s="486" t="s">
        <v>1019</v>
      </c>
      <c r="B82" s="394"/>
      <c r="C82" s="394"/>
      <c r="D82" s="394"/>
      <c r="E82" s="724"/>
      <c r="F82" s="586"/>
      <c r="G82" s="551">
        <v>1.3</v>
      </c>
      <c r="H82" s="393">
        <v>4419000</v>
      </c>
      <c r="I82" s="393">
        <f>G82*H82</f>
        <v>5744700</v>
      </c>
      <c r="J82" s="709"/>
      <c r="K82" s="713"/>
      <c r="L82" s="699"/>
      <c r="M82" s="699"/>
      <c r="N82" s="699"/>
      <c r="O82" s="699"/>
      <c r="P82" s="699"/>
      <c r="Q82" s="699"/>
      <c r="R82" s="699"/>
    </row>
    <row r="83" spans="1:257" ht="24" x14ac:dyDescent="0.2">
      <c r="A83" s="486" t="s">
        <v>1051</v>
      </c>
      <c r="B83" s="394"/>
      <c r="C83" s="394"/>
      <c r="D83" s="394"/>
      <c r="E83" s="724"/>
      <c r="F83" s="586"/>
      <c r="G83" s="551">
        <v>2.5</v>
      </c>
      <c r="H83" s="393">
        <v>2993000</v>
      </c>
      <c r="I83" s="393">
        <f>G83*H83</f>
        <v>7482500</v>
      </c>
      <c r="J83" s="709"/>
      <c r="K83" s="713"/>
      <c r="L83" s="699"/>
      <c r="M83" s="699"/>
      <c r="N83" s="699"/>
      <c r="O83" s="699"/>
      <c r="P83" s="699"/>
      <c r="Q83" s="699"/>
      <c r="R83" s="699"/>
    </row>
    <row r="84" spans="1:257" ht="24" x14ac:dyDescent="0.2">
      <c r="A84" s="486" t="s">
        <v>1197</v>
      </c>
      <c r="B84" s="489"/>
      <c r="C84" s="489"/>
      <c r="D84" s="489"/>
      <c r="E84" s="508"/>
      <c r="F84" s="714"/>
      <c r="G84" s="725"/>
      <c r="H84" s="393">
        <v>0</v>
      </c>
      <c r="I84" s="393">
        <v>10223000</v>
      </c>
      <c r="J84" s="709"/>
      <c r="K84" s="734">
        <f>SUM(I54:I84)</f>
        <v>187035356</v>
      </c>
      <c r="L84" s="6" t="s">
        <v>915</v>
      </c>
      <c r="M84" s="699"/>
      <c r="N84" s="699"/>
      <c r="O84" s="699"/>
      <c r="P84" s="699"/>
      <c r="Q84" s="699"/>
      <c r="R84" s="699"/>
    </row>
    <row r="85" spans="1:257" ht="12.75" x14ac:dyDescent="0.2">
      <c r="A85" s="500"/>
      <c r="B85" s="489"/>
      <c r="C85" s="489"/>
      <c r="D85" s="489"/>
      <c r="E85" s="508"/>
      <c r="F85" s="548"/>
      <c r="G85" s="725"/>
      <c r="H85" s="446"/>
      <c r="I85" s="446"/>
      <c r="J85" s="709"/>
      <c r="K85" s="713"/>
      <c r="L85" s="699"/>
      <c r="M85" s="699"/>
      <c r="N85" s="699"/>
      <c r="O85" s="699"/>
      <c r="P85" s="699"/>
      <c r="Q85" s="699"/>
      <c r="R85" s="699"/>
    </row>
    <row r="86" spans="1:257" ht="12.75" x14ac:dyDescent="0.2">
      <c r="A86" s="397" t="s">
        <v>880</v>
      </c>
      <c r="B86" s="394"/>
      <c r="C86" s="394"/>
      <c r="D86" s="394"/>
      <c r="E86" s="724"/>
      <c r="F86" s="393"/>
      <c r="G86" s="392"/>
      <c r="H86" s="392"/>
      <c r="I86" s="393"/>
      <c r="J86" s="709"/>
      <c r="K86" s="699"/>
      <c r="L86" s="699"/>
      <c r="M86" s="699"/>
      <c r="N86" s="699"/>
      <c r="O86" s="699"/>
      <c r="P86" s="699"/>
      <c r="Q86" s="699"/>
      <c r="R86" s="699"/>
    </row>
    <row r="87" spans="1:257" ht="12.75" x14ac:dyDescent="0.2">
      <c r="A87" s="397" t="s">
        <v>881</v>
      </c>
      <c r="B87" s="394"/>
      <c r="C87" s="394"/>
      <c r="D87" s="394"/>
      <c r="E87" s="724"/>
      <c r="F87" s="393"/>
      <c r="G87" s="392"/>
      <c r="H87" s="392"/>
      <c r="I87" s="393"/>
      <c r="J87" s="709"/>
      <c r="K87" s="699"/>
      <c r="L87" s="699"/>
      <c r="M87" s="699"/>
      <c r="N87" s="699"/>
      <c r="O87" s="699"/>
      <c r="P87" s="699"/>
      <c r="Q87" s="699"/>
      <c r="R87" s="699"/>
    </row>
    <row r="88" spans="1:257" ht="12.75" x14ac:dyDescent="0.2">
      <c r="A88" s="397" t="s">
        <v>882</v>
      </c>
      <c r="B88" s="394"/>
      <c r="C88" s="394">
        <v>4865</v>
      </c>
      <c r="D88" s="394">
        <v>1140</v>
      </c>
      <c r="E88" s="208"/>
      <c r="F88" s="393"/>
      <c r="G88" s="394">
        <v>4747</v>
      </c>
      <c r="H88" s="394">
        <v>1210</v>
      </c>
      <c r="I88" s="208">
        <f>G88*H88</f>
        <v>5743870</v>
      </c>
      <c r="J88" s="709"/>
      <c r="K88" s="699"/>
      <c r="L88" s="699"/>
      <c r="M88" s="699"/>
      <c r="N88" s="699"/>
      <c r="O88" s="699"/>
      <c r="P88" s="699"/>
      <c r="Q88" s="699"/>
      <c r="R88" s="699"/>
    </row>
    <row r="89" spans="1:257" ht="48" x14ac:dyDescent="0.2">
      <c r="A89" s="486" t="s">
        <v>883</v>
      </c>
      <c r="B89" s="489"/>
      <c r="C89" s="489"/>
      <c r="D89" s="489"/>
      <c r="E89" s="509"/>
      <c r="F89" s="586" t="s">
        <v>1022</v>
      </c>
      <c r="G89" s="394" t="s">
        <v>1224</v>
      </c>
      <c r="H89" s="489"/>
      <c r="I89" s="208">
        <v>0</v>
      </c>
      <c r="J89" s="709"/>
      <c r="K89" s="699"/>
      <c r="L89" s="699"/>
      <c r="M89" s="699"/>
      <c r="N89" s="699"/>
      <c r="O89" s="699"/>
      <c r="P89" s="699"/>
      <c r="Q89" s="699"/>
      <c r="R89" s="699"/>
    </row>
    <row r="90" spans="1:257" ht="48" x14ac:dyDescent="0.2">
      <c r="A90" s="486" t="s">
        <v>1023</v>
      </c>
      <c r="B90" s="394"/>
      <c r="C90" s="394"/>
      <c r="D90" s="394"/>
      <c r="E90" s="208"/>
      <c r="F90" s="586" t="s">
        <v>1024</v>
      </c>
      <c r="G90" s="394"/>
      <c r="H90" s="394"/>
      <c r="I90" s="208">
        <v>0</v>
      </c>
      <c r="J90" s="709"/>
      <c r="K90" s="734">
        <f>I88+I89+I90</f>
        <v>5743870</v>
      </c>
      <c r="L90" s="6" t="s">
        <v>916</v>
      </c>
      <c r="M90" s="699"/>
      <c r="N90" s="699"/>
      <c r="O90" s="699"/>
      <c r="P90" s="699"/>
      <c r="Q90" s="699"/>
      <c r="R90" s="699"/>
    </row>
    <row r="91" spans="1:257" ht="12.75" x14ac:dyDescent="0.2">
      <c r="A91" s="726"/>
      <c r="B91" s="505"/>
      <c r="C91" s="511"/>
      <c r="D91" s="489"/>
      <c r="E91" s="489"/>
      <c r="F91" s="556"/>
      <c r="G91" s="494"/>
      <c r="H91" s="494"/>
      <c r="I91" s="446"/>
      <c r="J91" s="709"/>
      <c r="K91" s="713"/>
      <c r="L91" s="713"/>
      <c r="M91" s="727"/>
      <c r="N91" s="701"/>
      <c r="O91" s="699"/>
      <c r="P91" s="699"/>
      <c r="Q91" s="699"/>
      <c r="R91" s="699"/>
    </row>
    <row r="92" spans="1:257" ht="24" x14ac:dyDescent="0.2">
      <c r="A92" s="535" t="s">
        <v>1225</v>
      </c>
      <c r="B92" s="513"/>
      <c r="C92" s="728"/>
      <c r="D92" s="514"/>
      <c r="E92" s="514"/>
      <c r="F92" s="561"/>
      <c r="G92" s="517"/>
      <c r="H92" s="517"/>
      <c r="I92" s="563">
        <v>0</v>
      </c>
      <c r="J92" s="709"/>
      <c r="K92" s="495">
        <v>0</v>
      </c>
      <c r="L92" s="495" t="s">
        <v>917</v>
      </c>
      <c r="M92" s="727"/>
      <c r="N92" s="701"/>
      <c r="O92" s="699"/>
      <c r="P92" s="699"/>
      <c r="Q92" s="699"/>
      <c r="R92" s="699"/>
    </row>
    <row r="93" spans="1:257" ht="13.5" thickBot="1" x14ac:dyDescent="0.25">
      <c r="A93" s="729"/>
      <c r="B93" s="513"/>
      <c r="C93" s="728"/>
      <c r="D93" s="514"/>
      <c r="E93" s="514"/>
      <c r="F93" s="513"/>
      <c r="G93" s="517"/>
      <c r="H93" s="517"/>
      <c r="I93" s="516"/>
      <c r="J93" s="709"/>
      <c r="K93" s="713"/>
      <c r="L93" s="713"/>
      <c r="M93" s="699"/>
      <c r="N93" s="701"/>
      <c r="O93" s="699"/>
      <c r="P93" s="699"/>
      <c r="Q93" s="699"/>
      <c r="R93" s="699"/>
    </row>
    <row r="94" spans="1:257" ht="12.75" thickBot="1" x14ac:dyDescent="0.25">
      <c r="A94" s="518" t="s">
        <v>885</v>
      </c>
      <c r="B94" s="730"/>
      <c r="C94" s="730"/>
      <c r="D94" s="731"/>
      <c r="E94" s="732" t="e">
        <f>E9+E11+E14+E17+E20+E25+E28+E31+E39+E40+#REF!+E41+E43+E46+E47+E49+E54+E55+E59+E60+E63+E64+E67+#REF!+E72+E73+E77+E78</f>
        <v>#REF!</v>
      </c>
      <c r="F94" s="1428">
        <f>I9+I13+I16+I19+I22+I25+I28+I31+I32+I51+I39+I40+I41+I42+I43+I44+I46+I69+I47+L70+I49+I50+I54+I55+I62+I63+I65+I66+I67+I72+I73+I77+I78+I79+I82+I83+I84+I88+I89+I90+I92+I74+I70</f>
        <v>882563602</v>
      </c>
      <c r="G94" s="1428"/>
      <c r="H94" s="1428"/>
      <c r="I94" s="1429"/>
      <c r="J94" s="705"/>
      <c r="K94" s="735">
        <f>K84+K51+K34+K90-K92</f>
        <v>882563602</v>
      </c>
      <c r="L94" s="564" t="s">
        <v>1198</v>
      </c>
      <c r="M94" s="705"/>
      <c r="N94" s="705"/>
      <c r="O94" s="705"/>
      <c r="P94" s="705"/>
      <c r="Q94" s="705"/>
      <c r="R94" s="705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565"/>
      <c r="B96" s="566"/>
      <c r="C96" s="566"/>
      <c r="D96" s="566"/>
      <c r="E96" s="567"/>
      <c r="F96" s="568"/>
      <c r="G96" s="568"/>
      <c r="H96" s="568"/>
      <c r="I96" s="568"/>
    </row>
    <row r="97" spans="1:1" ht="12.75" x14ac:dyDescent="0.2">
      <c r="A97" s="607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34" customWidth="1"/>
    <col min="2" max="2" width="9.85546875" style="134" hidden="1" customWidth="1"/>
    <col min="3" max="3" width="11.7109375" style="134" hidden="1" customWidth="1"/>
    <col min="4" max="4" width="9.85546875" style="134" hidden="1" customWidth="1"/>
    <col min="5" max="5" width="15.85546875" style="13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441" t="s">
        <v>293</v>
      </c>
      <c r="C1" s="1441"/>
      <c r="D1" s="1441"/>
      <c r="E1" s="1441"/>
    </row>
    <row r="2" spans="1:10" x14ac:dyDescent="0.2">
      <c r="F2" s="1448"/>
      <c r="G2" s="1448"/>
      <c r="H2" s="1448"/>
      <c r="I2" s="1448"/>
    </row>
    <row r="4" spans="1:10" ht="12.75" x14ac:dyDescent="0.2">
      <c r="A4" s="1442" t="s">
        <v>77</v>
      </c>
      <c r="B4" s="1442"/>
      <c r="C4" s="1442"/>
      <c r="D4" s="1442"/>
      <c r="E4" s="1442"/>
      <c r="F4" s="1443"/>
      <c r="G4" s="1443"/>
      <c r="H4" s="1443"/>
      <c r="I4" s="1443"/>
    </row>
    <row r="5" spans="1:10" ht="12.75" x14ac:dyDescent="0.2">
      <c r="A5" s="1442" t="s">
        <v>896</v>
      </c>
      <c r="B5" s="1442"/>
      <c r="C5" s="1442"/>
      <c r="D5" s="1442"/>
      <c r="E5" s="1442"/>
      <c r="F5" s="1443"/>
      <c r="G5" s="1443"/>
      <c r="H5" s="1443"/>
      <c r="I5" s="1443"/>
    </row>
    <row r="7" spans="1:10" ht="13.5" thickBot="1" x14ac:dyDescent="0.25">
      <c r="E7" s="390" t="s">
        <v>20</v>
      </c>
      <c r="F7" s="401"/>
    </row>
    <row r="8" spans="1:10" ht="12.75" customHeight="1" thickBot="1" x14ac:dyDescent="0.25">
      <c r="A8" s="1444" t="s">
        <v>78</v>
      </c>
      <c r="B8" s="1446" t="s">
        <v>106</v>
      </c>
      <c r="C8" s="1447"/>
      <c r="D8" s="1447"/>
      <c r="E8" s="1447"/>
      <c r="F8" s="1446" t="s">
        <v>907</v>
      </c>
      <c r="G8" s="1447"/>
      <c r="H8" s="1447"/>
      <c r="I8" s="1447"/>
    </row>
    <row r="9" spans="1:10" s="7" customFormat="1" ht="49.5" customHeight="1" thickBot="1" x14ac:dyDescent="0.25">
      <c r="A9" s="1445"/>
      <c r="B9" s="205" t="s">
        <v>79</v>
      </c>
      <c r="C9" s="135" t="s">
        <v>80</v>
      </c>
      <c r="D9" s="135" t="s">
        <v>679</v>
      </c>
      <c r="E9" s="206" t="s">
        <v>81</v>
      </c>
      <c r="F9" s="205" t="s">
        <v>79</v>
      </c>
      <c r="G9" s="135" t="s">
        <v>80</v>
      </c>
      <c r="H9" s="135" t="s">
        <v>679</v>
      </c>
      <c r="I9" s="206" t="s">
        <v>81</v>
      </c>
    </row>
    <row r="10" spans="1:10" ht="13.5" customHeight="1" x14ac:dyDescent="0.2">
      <c r="A10" s="402" t="s">
        <v>82</v>
      </c>
      <c r="B10" s="403"/>
      <c r="C10" s="403"/>
      <c r="D10" s="403"/>
      <c r="E10" s="403"/>
      <c r="F10" s="404"/>
      <c r="G10" s="404"/>
      <c r="H10" s="404"/>
      <c r="I10" s="404"/>
      <c r="J10" s="425"/>
    </row>
    <row r="11" spans="1:10" ht="13.5" customHeight="1" x14ac:dyDescent="0.2">
      <c r="A11" s="136" t="s">
        <v>817</v>
      </c>
      <c r="B11" s="137"/>
      <c r="C11" s="137"/>
      <c r="D11" s="137"/>
      <c r="E11" s="137"/>
      <c r="F11" s="391"/>
      <c r="G11" s="391"/>
      <c r="H11" s="391"/>
      <c r="I11" s="391"/>
      <c r="J11" s="425"/>
    </row>
    <row r="12" spans="1:10" ht="30.75" customHeight="1" x14ac:dyDescent="0.2">
      <c r="A12" s="486" t="s">
        <v>818</v>
      </c>
      <c r="B12" s="394">
        <v>4865</v>
      </c>
      <c r="C12" s="487">
        <v>18.690000000000001</v>
      </c>
      <c r="D12" s="394">
        <v>4580000</v>
      </c>
      <c r="E12" s="394">
        <f>C12*D12</f>
        <v>85600200</v>
      </c>
      <c r="F12" s="393">
        <v>4837</v>
      </c>
      <c r="G12" s="392">
        <v>18.62</v>
      </c>
      <c r="H12" s="392">
        <v>4580000</v>
      </c>
      <c r="I12" s="393">
        <f>G12*H12</f>
        <v>85279600</v>
      </c>
      <c r="J12" s="425"/>
    </row>
    <row r="13" spans="1:10" ht="13.5" customHeight="1" x14ac:dyDescent="0.2">
      <c r="A13" s="397" t="s">
        <v>819</v>
      </c>
      <c r="B13" s="394"/>
      <c r="C13" s="394"/>
      <c r="D13" s="394"/>
      <c r="E13" s="394"/>
      <c r="F13" s="393"/>
      <c r="G13" s="392"/>
      <c r="H13" s="392"/>
      <c r="I13" s="393"/>
      <c r="J13" s="425"/>
    </row>
    <row r="14" spans="1:10" ht="30" customHeight="1" x14ac:dyDescent="0.2">
      <c r="A14" s="486" t="s">
        <v>820</v>
      </c>
      <c r="B14" s="394"/>
      <c r="C14" s="395"/>
      <c r="D14" s="394" t="s">
        <v>294</v>
      </c>
      <c r="E14" s="394">
        <v>8328800</v>
      </c>
      <c r="F14" s="393"/>
      <c r="G14" s="392"/>
      <c r="H14" s="392" t="s">
        <v>294</v>
      </c>
      <c r="I14" s="393">
        <v>8329050</v>
      </c>
      <c r="J14" s="425"/>
    </row>
    <row r="15" spans="1:10" ht="30" customHeight="1" x14ac:dyDescent="0.2">
      <c r="A15" s="486" t="s">
        <v>821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5"/>
    </row>
    <row r="16" spans="1:10" ht="30" customHeight="1" x14ac:dyDescent="0.2">
      <c r="A16" s="486" t="s">
        <v>822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5"/>
    </row>
    <row r="17" spans="1:10" ht="16.5" customHeight="1" x14ac:dyDescent="0.2">
      <c r="A17" s="397" t="s">
        <v>823</v>
      </c>
      <c r="B17" s="394"/>
      <c r="C17" s="394"/>
      <c r="D17" s="488" t="s">
        <v>295</v>
      </c>
      <c r="E17" s="394">
        <v>18272000</v>
      </c>
      <c r="F17" s="393"/>
      <c r="G17" s="392"/>
      <c r="H17" s="392" t="s">
        <v>296</v>
      </c>
      <c r="I17" s="393">
        <v>18304000</v>
      </c>
      <c r="J17" s="425"/>
    </row>
    <row r="18" spans="1:10" ht="16.5" customHeight="1" x14ac:dyDescent="0.2">
      <c r="A18" s="397" t="s">
        <v>821</v>
      </c>
      <c r="B18" s="394"/>
      <c r="C18" s="394"/>
      <c r="D18" s="488"/>
      <c r="E18" s="394"/>
      <c r="F18" s="393"/>
      <c r="G18" s="392"/>
      <c r="H18" s="392"/>
      <c r="I18" s="393">
        <v>-18304000</v>
      </c>
      <c r="J18" s="425"/>
    </row>
    <row r="19" spans="1:10" ht="16.5" customHeight="1" x14ac:dyDescent="0.2">
      <c r="A19" s="397" t="s">
        <v>824</v>
      </c>
      <c r="B19" s="394"/>
      <c r="C19" s="394"/>
      <c r="D19" s="488"/>
      <c r="E19" s="394"/>
      <c r="F19" s="393"/>
      <c r="G19" s="392"/>
      <c r="H19" s="392"/>
      <c r="I19" s="393">
        <f>I17+I18</f>
        <v>0</v>
      </c>
      <c r="J19" s="425"/>
    </row>
    <row r="20" spans="1:10" ht="13.5" customHeight="1" x14ac:dyDescent="0.2">
      <c r="A20" s="397" t="s">
        <v>825</v>
      </c>
      <c r="B20" s="489"/>
      <c r="C20" s="489" t="s">
        <v>826</v>
      </c>
      <c r="D20" s="490" t="s">
        <v>680</v>
      </c>
      <c r="E20" s="489">
        <v>1355022</v>
      </c>
      <c r="F20" s="446"/>
      <c r="G20" s="489"/>
      <c r="H20" s="491" t="s">
        <v>680</v>
      </c>
      <c r="I20" s="393">
        <v>1355022</v>
      </c>
      <c r="J20" s="425"/>
    </row>
    <row r="21" spans="1:10" ht="13.5" customHeight="1" x14ac:dyDescent="0.2">
      <c r="A21" s="397" t="s">
        <v>827</v>
      </c>
      <c r="B21" s="489"/>
      <c r="C21" s="489"/>
      <c r="D21" s="490"/>
      <c r="E21" s="489"/>
      <c r="F21" s="446"/>
      <c r="G21" s="489"/>
      <c r="H21" s="491"/>
      <c r="I21" s="393">
        <v>-1355022</v>
      </c>
      <c r="J21" s="425"/>
    </row>
    <row r="22" spans="1:10" ht="13.5" customHeight="1" x14ac:dyDescent="0.2">
      <c r="A22" s="397" t="s">
        <v>828</v>
      </c>
      <c r="B22" s="489"/>
      <c r="C22" s="489"/>
      <c r="D22" s="490"/>
      <c r="E22" s="489"/>
      <c r="F22" s="446"/>
      <c r="G22" s="489"/>
      <c r="H22" s="491"/>
      <c r="I22" s="393">
        <f>I20+I21</f>
        <v>0</v>
      </c>
      <c r="J22" s="425"/>
    </row>
    <row r="23" spans="1:10" ht="13.5" customHeight="1" x14ac:dyDescent="0.2">
      <c r="A23" s="397" t="s">
        <v>829</v>
      </c>
      <c r="B23" s="394"/>
      <c r="C23" s="395"/>
      <c r="D23" s="488" t="s">
        <v>681</v>
      </c>
      <c r="E23" s="394">
        <v>6369620</v>
      </c>
      <c r="F23" s="393"/>
      <c r="G23" s="392"/>
      <c r="H23" s="488" t="s">
        <v>681</v>
      </c>
      <c r="I23" s="393">
        <v>6369620</v>
      </c>
      <c r="J23" s="425"/>
    </row>
    <row r="24" spans="1:10" ht="13.5" customHeight="1" x14ac:dyDescent="0.2">
      <c r="A24" s="397" t="s">
        <v>827</v>
      </c>
      <c r="B24" s="394"/>
      <c r="C24" s="395"/>
      <c r="D24" s="488"/>
      <c r="E24" s="394"/>
      <c r="F24" s="393"/>
      <c r="G24" s="392"/>
      <c r="H24" s="488"/>
      <c r="I24" s="393">
        <v>-6369620</v>
      </c>
      <c r="J24" s="425"/>
    </row>
    <row r="25" spans="1:10" ht="13.5" customHeight="1" x14ac:dyDescent="0.2">
      <c r="A25" s="397" t="s">
        <v>830</v>
      </c>
      <c r="B25" s="394"/>
      <c r="C25" s="395"/>
      <c r="D25" s="488"/>
      <c r="E25" s="394"/>
      <c r="F25" s="393"/>
      <c r="G25" s="392"/>
      <c r="H25" s="488"/>
      <c r="I25" s="393">
        <f>I23+I24</f>
        <v>0</v>
      </c>
      <c r="J25" s="425"/>
    </row>
    <row r="26" spans="1:10" ht="13.5" customHeight="1" x14ac:dyDescent="0.2">
      <c r="A26" s="397" t="s">
        <v>831</v>
      </c>
      <c r="B26" s="394">
        <v>4865</v>
      </c>
      <c r="C26" s="394"/>
      <c r="D26" s="394">
        <v>2700</v>
      </c>
      <c r="E26" s="394">
        <f>B26*D26</f>
        <v>13135500</v>
      </c>
      <c r="F26" s="393">
        <v>4837</v>
      </c>
      <c r="G26" s="392"/>
      <c r="H26" s="394">
        <v>2700</v>
      </c>
      <c r="I26" s="393">
        <f>F26*H26</f>
        <v>13059900</v>
      </c>
      <c r="J26" s="425"/>
    </row>
    <row r="27" spans="1:10" ht="13.5" customHeight="1" x14ac:dyDescent="0.2">
      <c r="A27" s="397" t="s">
        <v>832</v>
      </c>
      <c r="B27" s="394"/>
      <c r="C27" s="394"/>
      <c r="D27" s="394"/>
      <c r="E27" s="394">
        <v>-13135500</v>
      </c>
      <c r="F27" s="393"/>
      <c r="G27" s="392"/>
      <c r="H27" s="392"/>
      <c r="I27" s="393">
        <v>-13059900</v>
      </c>
      <c r="J27" s="425"/>
    </row>
    <row r="28" spans="1:10" ht="13.5" customHeight="1" x14ac:dyDescent="0.2">
      <c r="A28" s="397" t="s">
        <v>833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5"/>
    </row>
    <row r="29" spans="1:10" ht="13.5" customHeight="1" x14ac:dyDescent="0.2">
      <c r="A29" s="397" t="s">
        <v>834</v>
      </c>
      <c r="B29" s="489">
        <v>10</v>
      </c>
      <c r="C29" s="489"/>
      <c r="D29" s="489" t="s">
        <v>297</v>
      </c>
      <c r="E29" s="492">
        <v>25500</v>
      </c>
      <c r="F29" s="393">
        <v>11</v>
      </c>
      <c r="G29" s="392"/>
      <c r="H29" s="394" t="s">
        <v>297</v>
      </c>
      <c r="I29" s="393">
        <v>28050</v>
      </c>
      <c r="J29" s="425"/>
    </row>
    <row r="30" spans="1:10" ht="13.5" customHeight="1" x14ac:dyDescent="0.2">
      <c r="A30" s="397" t="s">
        <v>835</v>
      </c>
      <c r="B30" s="489"/>
      <c r="C30" s="489"/>
      <c r="D30" s="489"/>
      <c r="E30" s="492">
        <v>-25500</v>
      </c>
      <c r="F30" s="393"/>
      <c r="G30" s="392"/>
      <c r="H30" s="392"/>
      <c r="I30" s="393">
        <v>-28050</v>
      </c>
      <c r="J30" s="425"/>
    </row>
    <row r="31" spans="1:10" ht="13.5" customHeight="1" x14ac:dyDescent="0.2">
      <c r="A31" s="397" t="s">
        <v>836</v>
      </c>
      <c r="B31" s="489"/>
      <c r="C31" s="489"/>
      <c r="D31" s="489"/>
      <c r="E31" s="492">
        <v>0</v>
      </c>
      <c r="F31" s="393"/>
      <c r="G31" s="392"/>
      <c r="H31" s="392"/>
      <c r="I31" s="393">
        <f>I29+I30</f>
        <v>0</v>
      </c>
      <c r="J31" s="425"/>
    </row>
    <row r="32" spans="1:10" ht="13.5" customHeight="1" x14ac:dyDescent="0.2">
      <c r="A32" s="397" t="s">
        <v>837</v>
      </c>
      <c r="B32" s="394"/>
      <c r="C32" s="394">
        <v>487729000</v>
      </c>
      <c r="D32" s="395">
        <v>1.55</v>
      </c>
      <c r="E32" s="394">
        <f>C32*D32</f>
        <v>755979950</v>
      </c>
      <c r="F32" s="393"/>
      <c r="G32" s="537">
        <v>482296000</v>
      </c>
      <c r="H32" s="538">
        <v>1.55</v>
      </c>
      <c r="I32" s="537">
        <f>G32*H32</f>
        <v>747558800</v>
      </c>
      <c r="J32" s="425"/>
    </row>
    <row r="33" spans="1:11" ht="13.5" customHeight="1" x14ac:dyDescent="0.2">
      <c r="A33" s="397" t="s">
        <v>832</v>
      </c>
      <c r="B33" s="394"/>
      <c r="C33" s="394"/>
      <c r="D33" s="398"/>
      <c r="E33" s="394">
        <v>-98054262</v>
      </c>
      <c r="F33" s="393"/>
      <c r="G33" s="392"/>
      <c r="H33" s="392"/>
      <c r="I33" s="393">
        <v>-69343482</v>
      </c>
      <c r="J33" s="425"/>
    </row>
    <row r="34" spans="1:11" ht="13.5" customHeight="1" x14ac:dyDescent="0.2">
      <c r="A34" s="397" t="s">
        <v>838</v>
      </c>
      <c r="B34" s="394"/>
      <c r="C34" s="394"/>
      <c r="D34" s="398"/>
      <c r="E34" s="394">
        <f>E32+E33</f>
        <v>657925688</v>
      </c>
      <c r="F34" s="393"/>
      <c r="G34" s="392"/>
      <c r="H34" s="392"/>
      <c r="I34" s="393">
        <f>I32+I33</f>
        <v>678215318</v>
      </c>
      <c r="J34" s="425"/>
    </row>
    <row r="35" spans="1:11" ht="13.5" customHeight="1" x14ac:dyDescent="0.2">
      <c r="A35" s="493" t="s">
        <v>839</v>
      </c>
      <c r="B35" s="489"/>
      <c r="C35" s="489"/>
      <c r="D35" s="489"/>
      <c r="E35" s="489">
        <v>0</v>
      </c>
      <c r="F35" s="446"/>
      <c r="G35" s="494"/>
      <c r="H35" s="494"/>
      <c r="I35" s="446">
        <v>0</v>
      </c>
      <c r="J35" s="425"/>
    </row>
    <row r="36" spans="1:11" ht="13.5" customHeight="1" x14ac:dyDescent="0.2">
      <c r="A36" s="493"/>
      <c r="B36" s="489"/>
      <c r="C36" s="489"/>
      <c r="D36" s="489"/>
      <c r="E36" s="489"/>
      <c r="F36" s="446"/>
      <c r="G36" s="494"/>
      <c r="H36" s="494"/>
      <c r="I36" s="446"/>
      <c r="J36" s="425"/>
      <c r="K36" s="495"/>
    </row>
    <row r="37" spans="1:11" ht="24.95" customHeight="1" x14ac:dyDescent="0.2">
      <c r="A37" s="496" t="s">
        <v>83</v>
      </c>
      <c r="B37" s="489"/>
      <c r="C37" s="489"/>
      <c r="D37" s="489"/>
      <c r="E37" s="489"/>
      <c r="F37" s="446"/>
      <c r="G37" s="494"/>
      <c r="H37" s="494"/>
      <c r="I37" s="446"/>
      <c r="J37" s="425"/>
    </row>
    <row r="38" spans="1:11" ht="15" customHeight="1" x14ac:dyDescent="0.2">
      <c r="A38" s="486" t="s">
        <v>840</v>
      </c>
      <c r="B38" s="489"/>
      <c r="C38" s="489"/>
      <c r="D38" s="489"/>
      <c r="E38" s="489"/>
      <c r="F38" s="446"/>
      <c r="G38" s="494"/>
      <c r="H38" s="494"/>
      <c r="I38" s="446"/>
      <c r="J38" s="425"/>
    </row>
    <row r="39" spans="1:11" ht="24" customHeight="1" x14ac:dyDescent="0.2">
      <c r="A39" s="486" t="s">
        <v>841</v>
      </c>
      <c r="B39" s="394"/>
      <c r="C39" s="395">
        <v>13.1</v>
      </c>
      <c r="D39" s="394">
        <v>4152000</v>
      </c>
      <c r="E39" s="394">
        <f>C39*D39*8/12</f>
        <v>36260800</v>
      </c>
      <c r="F39" s="393"/>
      <c r="G39" s="392">
        <v>13.3</v>
      </c>
      <c r="H39" s="393">
        <v>4308000</v>
      </c>
      <c r="I39" s="393">
        <f>G39*8/12*4308000</f>
        <v>38197600</v>
      </c>
      <c r="J39" s="425"/>
    </row>
    <row r="40" spans="1:11" ht="24" customHeight="1" x14ac:dyDescent="0.2">
      <c r="A40" s="486" t="s">
        <v>842</v>
      </c>
      <c r="B40" s="394"/>
      <c r="C40" s="395">
        <v>13.1</v>
      </c>
      <c r="D40" s="396">
        <v>4152000</v>
      </c>
      <c r="E40" s="394">
        <f>C40*D40*4/12</f>
        <v>18130400</v>
      </c>
      <c r="F40" s="393"/>
      <c r="G40" s="497">
        <v>13.4</v>
      </c>
      <c r="H40" s="393">
        <v>4308000</v>
      </c>
      <c r="I40" s="393">
        <f>G40*4/12*H40</f>
        <v>19242400</v>
      </c>
      <c r="J40" s="425"/>
    </row>
    <row r="41" spans="1:11" ht="24.95" customHeight="1" x14ac:dyDescent="0.2">
      <c r="A41" s="486" t="s">
        <v>908</v>
      </c>
      <c r="B41" s="489"/>
      <c r="C41" s="498">
        <v>13.1</v>
      </c>
      <c r="D41" s="499">
        <v>35000</v>
      </c>
      <c r="E41" s="489">
        <f>C41*D41</f>
        <v>458500</v>
      </c>
      <c r="F41" s="446"/>
      <c r="G41" s="497">
        <v>13.4</v>
      </c>
      <c r="H41" s="393">
        <v>35000</v>
      </c>
      <c r="I41" s="393">
        <f>G41*H41</f>
        <v>469000</v>
      </c>
      <c r="J41" s="425"/>
    </row>
    <row r="42" spans="1:11" ht="24.95" customHeight="1" x14ac:dyDescent="0.2">
      <c r="A42" s="486" t="s">
        <v>843</v>
      </c>
      <c r="B42" s="489"/>
      <c r="C42" s="489">
        <v>10</v>
      </c>
      <c r="D42" s="489">
        <v>1800000</v>
      </c>
      <c r="E42" s="492">
        <f>C42*D42*8/12</f>
        <v>12000000</v>
      </c>
      <c r="F42" s="446"/>
      <c r="G42" s="497">
        <v>9</v>
      </c>
      <c r="H42" s="393">
        <v>1800000</v>
      </c>
      <c r="I42" s="393">
        <f>G42*H42*8/12</f>
        <v>10800000</v>
      </c>
      <c r="J42" s="425"/>
    </row>
    <row r="43" spans="1:11" ht="35.25" customHeight="1" x14ac:dyDescent="0.2">
      <c r="A43" s="500" t="s">
        <v>844</v>
      </c>
      <c r="B43" s="489"/>
      <c r="C43" s="489"/>
      <c r="D43" s="489"/>
      <c r="E43" s="492"/>
      <c r="F43" s="446"/>
      <c r="G43" s="497">
        <v>1</v>
      </c>
      <c r="H43" s="393">
        <v>4308000</v>
      </c>
      <c r="I43" s="393">
        <f>G43*H43*8/12</f>
        <v>2872000</v>
      </c>
      <c r="J43" s="425"/>
    </row>
    <row r="44" spans="1:11" ht="35.25" customHeight="1" x14ac:dyDescent="0.2">
      <c r="A44" s="486" t="s">
        <v>845</v>
      </c>
      <c r="B44" s="489"/>
      <c r="C44" s="489">
        <v>10</v>
      </c>
      <c r="D44" s="489">
        <v>1800000</v>
      </c>
      <c r="E44" s="489">
        <f>C44*D44*4/12</f>
        <v>6000000</v>
      </c>
      <c r="F44" s="446"/>
      <c r="G44" s="497">
        <v>9</v>
      </c>
      <c r="H44" s="393">
        <v>1800000</v>
      </c>
      <c r="I44" s="393">
        <f>G44*H44*4/12</f>
        <v>5400000</v>
      </c>
      <c r="J44" s="426"/>
    </row>
    <row r="45" spans="1:11" ht="35.25" customHeight="1" x14ac:dyDescent="0.2">
      <c r="A45" s="486" t="s">
        <v>846</v>
      </c>
      <c r="B45" s="489"/>
      <c r="C45" s="489"/>
      <c r="D45" s="489"/>
      <c r="E45" s="489"/>
      <c r="F45" s="446"/>
      <c r="G45" s="497">
        <v>1</v>
      </c>
      <c r="H45" s="393">
        <v>4308000</v>
      </c>
      <c r="I45" s="393">
        <f>G45*H45*4/12</f>
        <v>1436000</v>
      </c>
      <c r="J45" s="426"/>
    </row>
    <row r="46" spans="1:11" ht="13.5" customHeight="1" x14ac:dyDescent="0.2">
      <c r="A46" s="486" t="s">
        <v>847</v>
      </c>
      <c r="B46" s="489"/>
      <c r="C46" s="489"/>
      <c r="D46" s="489"/>
      <c r="E46" s="489"/>
      <c r="F46" s="446"/>
      <c r="G46" s="497">
        <v>1</v>
      </c>
      <c r="H46" s="393">
        <v>35000</v>
      </c>
      <c r="I46" s="393">
        <f>G46*H46</f>
        <v>35000</v>
      </c>
      <c r="J46" s="426"/>
    </row>
    <row r="47" spans="1:11" ht="13.5" customHeight="1" x14ac:dyDescent="0.2">
      <c r="A47" s="397" t="s">
        <v>848</v>
      </c>
      <c r="B47" s="489"/>
      <c r="C47" s="489"/>
      <c r="D47" s="489"/>
      <c r="E47" s="489"/>
      <c r="F47" s="446"/>
      <c r="G47" s="494"/>
      <c r="H47" s="494"/>
      <c r="I47" s="446"/>
      <c r="J47" s="425"/>
    </row>
    <row r="48" spans="1:11" ht="13.5" customHeight="1" x14ac:dyDescent="0.2">
      <c r="A48" s="486" t="s">
        <v>849</v>
      </c>
      <c r="B48" s="394"/>
      <c r="C48" s="394"/>
      <c r="D48" s="394"/>
      <c r="E48" s="394"/>
      <c r="F48" s="393"/>
      <c r="G48" s="393">
        <v>0</v>
      </c>
      <c r="H48" s="394">
        <v>80000</v>
      </c>
      <c r="I48" s="393">
        <f>G48*H48*8/12</f>
        <v>0</v>
      </c>
      <c r="J48" s="425"/>
    </row>
    <row r="49" spans="1:11" ht="13.5" customHeight="1" x14ac:dyDescent="0.2">
      <c r="A49" s="486" t="s">
        <v>850</v>
      </c>
      <c r="B49" s="394"/>
      <c r="C49" s="394">
        <v>142</v>
      </c>
      <c r="D49" s="394">
        <v>70000</v>
      </c>
      <c r="E49" s="394">
        <f>C49*D49*8/12</f>
        <v>6626666.666666667</v>
      </c>
      <c r="F49" s="393"/>
      <c r="G49" s="393">
        <v>144</v>
      </c>
      <c r="H49" s="394">
        <v>80000</v>
      </c>
      <c r="I49" s="393">
        <f>G49*H49*8/12</f>
        <v>7680000</v>
      </c>
      <c r="J49" s="425"/>
    </row>
    <row r="50" spans="1:11" ht="13.5" customHeight="1" x14ac:dyDescent="0.2">
      <c r="A50" s="486" t="s">
        <v>851</v>
      </c>
      <c r="B50" s="489"/>
      <c r="C50" s="489"/>
      <c r="D50" s="489"/>
      <c r="E50" s="489"/>
      <c r="F50" s="446"/>
      <c r="G50" s="393">
        <v>0</v>
      </c>
      <c r="H50" s="394">
        <v>80000</v>
      </c>
      <c r="I50" s="393">
        <f>G50*H50*8/12</f>
        <v>0</v>
      </c>
      <c r="J50" s="425"/>
    </row>
    <row r="51" spans="1:11" ht="39.75" customHeight="1" x14ac:dyDescent="0.2">
      <c r="A51" s="486" t="s">
        <v>852</v>
      </c>
      <c r="B51" s="489"/>
      <c r="C51" s="489">
        <v>142</v>
      </c>
      <c r="D51" s="489">
        <v>70000</v>
      </c>
      <c r="E51" s="489">
        <f>C51*D51*4/12</f>
        <v>3313333.3333333335</v>
      </c>
      <c r="F51" s="446"/>
      <c r="G51" s="393">
        <v>144</v>
      </c>
      <c r="H51" s="394">
        <v>80000</v>
      </c>
      <c r="I51" s="393">
        <f>G51*H51*4/12</f>
        <v>3840000</v>
      </c>
      <c r="J51" s="425"/>
    </row>
    <row r="52" spans="1:11" ht="50.25" customHeight="1" x14ac:dyDescent="0.2">
      <c r="A52" s="397" t="s">
        <v>853</v>
      </c>
      <c r="B52" s="489"/>
      <c r="C52" s="489"/>
      <c r="D52" s="489"/>
      <c r="E52" s="489">
        <v>0</v>
      </c>
      <c r="F52" s="446"/>
      <c r="G52" s="494"/>
      <c r="H52" s="494"/>
      <c r="I52" s="393">
        <v>740000</v>
      </c>
      <c r="J52" s="428"/>
    </row>
    <row r="53" spans="1:11" ht="13.5" customHeight="1" x14ac:dyDescent="0.2">
      <c r="A53" s="397" t="s">
        <v>854</v>
      </c>
      <c r="B53" s="394"/>
      <c r="C53" s="394"/>
      <c r="D53" s="394"/>
      <c r="E53" s="394"/>
      <c r="F53" s="393"/>
      <c r="G53" s="392"/>
      <c r="H53" s="392"/>
      <c r="I53" s="393"/>
      <c r="J53" s="425"/>
    </row>
    <row r="54" spans="1:11" ht="13.5" customHeight="1" x14ac:dyDescent="0.2">
      <c r="A54" s="486" t="s">
        <v>855</v>
      </c>
      <c r="B54" s="394"/>
      <c r="C54" s="394">
        <v>5</v>
      </c>
      <c r="D54" s="501" t="s">
        <v>298</v>
      </c>
      <c r="E54" s="394">
        <v>1760000</v>
      </c>
      <c r="F54" s="393"/>
      <c r="G54" s="393">
        <v>5</v>
      </c>
      <c r="H54" s="393">
        <v>384000</v>
      </c>
      <c r="I54" s="393">
        <f>G54*H54</f>
        <v>1920000</v>
      </c>
      <c r="J54" s="425"/>
    </row>
    <row r="55" spans="1:11" ht="13.5" customHeight="1" x14ac:dyDescent="0.2">
      <c r="A55" s="486" t="s">
        <v>856</v>
      </c>
      <c r="B55" s="489"/>
      <c r="C55" s="489"/>
      <c r="D55" s="489"/>
      <c r="E55" s="489"/>
      <c r="F55" s="446"/>
      <c r="G55" s="393">
        <v>1</v>
      </c>
      <c r="H55" s="393">
        <v>352000</v>
      </c>
      <c r="I55" s="393">
        <f>G55*H55</f>
        <v>352000</v>
      </c>
      <c r="J55" s="425"/>
    </row>
    <row r="56" spans="1:11" ht="12.75" customHeight="1" x14ac:dyDescent="0.2">
      <c r="A56" s="493"/>
      <c r="B56" s="489"/>
      <c r="C56" s="489"/>
      <c r="D56" s="489"/>
      <c r="E56" s="489"/>
      <c r="F56" s="446"/>
      <c r="G56" s="494"/>
      <c r="H56" s="494"/>
      <c r="I56" s="446"/>
      <c r="J56" s="425"/>
      <c r="K56" s="495"/>
    </row>
    <row r="57" spans="1:11" ht="13.5" customHeight="1" x14ac:dyDescent="0.2">
      <c r="A57" s="496" t="s">
        <v>84</v>
      </c>
      <c r="B57" s="489"/>
      <c r="C57" s="489"/>
      <c r="D57" s="489"/>
      <c r="E57" s="489"/>
      <c r="F57" s="446"/>
      <c r="G57" s="494"/>
      <c r="H57" s="494"/>
      <c r="I57" s="446"/>
      <c r="J57" s="425"/>
    </row>
    <row r="58" spans="1:11" ht="33.75" customHeight="1" x14ac:dyDescent="0.2">
      <c r="A58" s="493" t="s">
        <v>857</v>
      </c>
      <c r="B58" s="489"/>
      <c r="C58" s="489"/>
      <c r="D58" s="489"/>
      <c r="E58" s="489">
        <v>0</v>
      </c>
      <c r="F58" s="446"/>
      <c r="G58" s="494"/>
      <c r="H58" s="494"/>
      <c r="I58" s="446">
        <v>0</v>
      </c>
      <c r="J58" s="427"/>
    </row>
    <row r="59" spans="1:11" ht="27" customHeight="1" x14ac:dyDescent="0.2">
      <c r="A59" s="500" t="s">
        <v>858</v>
      </c>
      <c r="B59" s="489"/>
      <c r="C59" s="489"/>
      <c r="D59" s="489"/>
      <c r="E59" s="492">
        <v>0</v>
      </c>
      <c r="F59" s="446"/>
      <c r="G59" s="494"/>
      <c r="H59" s="494"/>
      <c r="I59" s="446">
        <v>0</v>
      </c>
      <c r="J59" s="425"/>
    </row>
    <row r="60" spans="1:11" ht="13.5" customHeight="1" x14ac:dyDescent="0.2">
      <c r="A60" s="397" t="s">
        <v>859</v>
      </c>
      <c r="B60" s="489"/>
      <c r="C60" s="489"/>
      <c r="D60" s="489"/>
      <c r="E60" s="489"/>
      <c r="F60" s="446"/>
      <c r="G60" s="494"/>
      <c r="H60" s="494"/>
      <c r="I60" s="446"/>
      <c r="J60" s="425"/>
    </row>
    <row r="61" spans="1:11" ht="13.5" customHeight="1" x14ac:dyDescent="0.2">
      <c r="A61" s="397" t="s">
        <v>860</v>
      </c>
      <c r="B61" s="489"/>
      <c r="C61" s="489"/>
      <c r="D61" s="489"/>
      <c r="E61" s="489"/>
      <c r="F61" s="446"/>
      <c r="G61" s="494"/>
      <c r="H61" s="494"/>
      <c r="I61" s="446"/>
      <c r="J61" s="425"/>
    </row>
    <row r="62" spans="1:11" ht="13.5" customHeight="1" x14ac:dyDescent="0.2">
      <c r="A62" s="397" t="s">
        <v>861</v>
      </c>
      <c r="B62" s="489"/>
      <c r="C62" s="489"/>
      <c r="D62" s="489"/>
      <c r="E62" s="489"/>
      <c r="F62" s="446"/>
      <c r="G62" s="494"/>
      <c r="H62" s="494"/>
      <c r="I62" s="446"/>
      <c r="J62" s="425"/>
    </row>
    <row r="63" spans="1:11" ht="28.5" customHeight="1" x14ac:dyDescent="0.2">
      <c r="A63" s="486" t="s">
        <v>862</v>
      </c>
      <c r="B63" s="493"/>
      <c r="C63" s="502"/>
      <c r="D63" s="489"/>
      <c r="E63" s="489">
        <f>C63*D63/2</f>
        <v>0</v>
      </c>
      <c r="F63" s="394">
        <v>7916</v>
      </c>
      <c r="G63" s="503"/>
      <c r="H63" s="494"/>
      <c r="I63" s="446"/>
      <c r="J63" s="427"/>
    </row>
    <row r="64" spans="1:11" ht="24.95" customHeight="1" x14ac:dyDescent="0.2">
      <c r="A64" s="500" t="s">
        <v>863</v>
      </c>
      <c r="B64" s="489"/>
      <c r="C64" s="493"/>
      <c r="D64" s="489"/>
      <c r="E64" s="489"/>
      <c r="F64" s="446"/>
      <c r="G64" s="399">
        <v>0</v>
      </c>
      <c r="H64" s="494"/>
      <c r="I64" s="446"/>
      <c r="J64" s="427"/>
    </row>
    <row r="65" spans="1:10" ht="24.95" customHeight="1" x14ac:dyDescent="0.2">
      <c r="A65" s="493" t="s">
        <v>864</v>
      </c>
      <c r="B65" s="489"/>
      <c r="C65" s="493"/>
      <c r="D65" s="489"/>
      <c r="E65" s="489"/>
      <c r="F65" s="446"/>
      <c r="G65" s="398">
        <v>1</v>
      </c>
      <c r="H65" s="494"/>
      <c r="I65" s="446"/>
      <c r="J65" s="425"/>
    </row>
    <row r="66" spans="1:10" ht="24.95" customHeight="1" x14ac:dyDescent="0.2">
      <c r="A66" s="397" t="s">
        <v>865</v>
      </c>
      <c r="B66" s="489"/>
      <c r="C66" s="504">
        <v>0.97299999999999998</v>
      </c>
      <c r="D66" s="489">
        <v>3000000</v>
      </c>
      <c r="E66" s="489"/>
      <c r="F66" s="446"/>
      <c r="G66" s="398">
        <v>2</v>
      </c>
      <c r="H66" s="394">
        <v>3000000</v>
      </c>
      <c r="I66" s="393">
        <f>(2*1+0)*3000000</f>
        <v>6000000</v>
      </c>
      <c r="J66" s="425"/>
    </row>
    <row r="67" spans="1:10" ht="13.5" customHeight="1" x14ac:dyDescent="0.2">
      <c r="A67" s="397" t="s">
        <v>866</v>
      </c>
      <c r="B67" s="505"/>
      <c r="C67" s="489">
        <v>80</v>
      </c>
      <c r="D67" s="489">
        <v>55360</v>
      </c>
      <c r="E67" s="489">
        <f>C67*D67</f>
        <v>4428800</v>
      </c>
      <c r="F67" s="446"/>
      <c r="G67" s="394">
        <v>80</v>
      </c>
      <c r="H67" s="394">
        <v>55360</v>
      </c>
      <c r="I67" s="394">
        <f>G67*H67</f>
        <v>4428800</v>
      </c>
      <c r="J67" s="425"/>
    </row>
    <row r="68" spans="1:10" ht="13.5" customHeight="1" x14ac:dyDescent="0.2">
      <c r="A68" s="397" t="s">
        <v>867</v>
      </c>
      <c r="B68" s="505"/>
      <c r="C68" s="489">
        <v>55</v>
      </c>
      <c r="D68" s="489">
        <v>145000</v>
      </c>
      <c r="E68" s="489">
        <f>C68*D68</f>
        <v>7975000</v>
      </c>
      <c r="F68" s="446"/>
      <c r="G68" s="394">
        <v>50</v>
      </c>
      <c r="H68" s="394">
        <v>145000</v>
      </c>
      <c r="I68" s="394">
        <f>G68*H68</f>
        <v>7250000</v>
      </c>
      <c r="J68" s="425"/>
    </row>
    <row r="69" spans="1:10" ht="13.5" customHeight="1" x14ac:dyDescent="0.2">
      <c r="A69" s="500" t="s">
        <v>868</v>
      </c>
      <c r="B69" s="506"/>
      <c r="C69" s="489">
        <v>23</v>
      </c>
      <c r="D69" s="489">
        <v>109000</v>
      </c>
      <c r="E69" s="489">
        <f>C69*D69</f>
        <v>2507000</v>
      </c>
      <c r="F69" s="446"/>
      <c r="G69" s="394">
        <v>23</v>
      </c>
      <c r="H69" s="394">
        <v>109000</v>
      </c>
      <c r="I69" s="394">
        <f>G69*H69</f>
        <v>2507000</v>
      </c>
      <c r="J69" s="425"/>
    </row>
    <row r="70" spans="1:10" ht="15" customHeight="1" x14ac:dyDescent="0.2">
      <c r="A70" s="486" t="s">
        <v>869</v>
      </c>
      <c r="B70" s="506"/>
      <c r="C70" s="489"/>
      <c r="D70" s="489"/>
      <c r="E70" s="489"/>
      <c r="F70" s="446"/>
      <c r="G70" s="494"/>
      <c r="H70" s="494"/>
      <c r="I70" s="446"/>
      <c r="J70" s="425"/>
    </row>
    <row r="71" spans="1:10" ht="13.5" customHeight="1" x14ac:dyDescent="0.2">
      <c r="A71" s="493" t="s">
        <v>870</v>
      </c>
      <c r="B71" s="493"/>
      <c r="C71" s="493"/>
      <c r="D71" s="446"/>
      <c r="E71" s="489"/>
      <c r="F71" s="446"/>
      <c r="G71" s="494"/>
      <c r="H71" s="494"/>
      <c r="I71" s="446"/>
      <c r="J71" s="425"/>
    </row>
    <row r="72" spans="1:10" ht="13.5" customHeight="1" x14ac:dyDescent="0.2">
      <c r="A72" s="397" t="s">
        <v>871</v>
      </c>
      <c r="B72" s="507"/>
      <c r="C72" s="489">
        <v>13</v>
      </c>
      <c r="D72" s="489">
        <v>494100</v>
      </c>
      <c r="E72" s="489">
        <f>C72*D72</f>
        <v>6423300</v>
      </c>
      <c r="F72" s="446"/>
      <c r="G72" s="394">
        <v>15</v>
      </c>
      <c r="H72" s="394">
        <v>494100</v>
      </c>
      <c r="I72" s="394">
        <f>G72*H72</f>
        <v>7411500</v>
      </c>
      <c r="J72" s="425"/>
    </row>
    <row r="73" spans="1:10" ht="13.5" customHeight="1" x14ac:dyDescent="0.2">
      <c r="A73" s="486" t="s">
        <v>872</v>
      </c>
      <c r="B73" s="505"/>
      <c r="C73" s="489"/>
      <c r="D73" s="489"/>
      <c r="E73" s="489"/>
      <c r="F73" s="446"/>
      <c r="G73" s="494"/>
      <c r="H73" s="494"/>
      <c r="I73" s="446"/>
      <c r="J73" s="425"/>
    </row>
    <row r="74" spans="1:10" ht="13.5" customHeight="1" x14ac:dyDescent="0.2">
      <c r="A74" s="486" t="s">
        <v>873</v>
      </c>
      <c r="B74" s="505"/>
      <c r="C74" s="489">
        <v>15</v>
      </c>
      <c r="D74" s="489">
        <v>2606040</v>
      </c>
      <c r="E74" s="489">
        <f>C74*D74</f>
        <v>39090600</v>
      </c>
      <c r="F74" s="446"/>
      <c r="G74" s="394">
        <v>15</v>
      </c>
      <c r="H74" s="394">
        <v>2606040</v>
      </c>
      <c r="I74" s="394">
        <f>G74*H74</f>
        <v>39090600</v>
      </c>
      <c r="J74" s="425"/>
    </row>
    <row r="75" spans="1:10" ht="24.95" customHeight="1" x14ac:dyDescent="0.2">
      <c r="A75" s="397" t="s">
        <v>874</v>
      </c>
      <c r="B75" s="505"/>
      <c r="C75" s="489"/>
      <c r="D75" s="489"/>
      <c r="E75" s="492">
        <v>37834000</v>
      </c>
      <c r="F75" s="446"/>
      <c r="G75" s="494"/>
      <c r="H75" s="494"/>
      <c r="I75" s="393">
        <v>31081000</v>
      </c>
      <c r="J75" s="429"/>
    </row>
    <row r="76" spans="1:10" ht="15" customHeight="1" x14ac:dyDescent="0.2">
      <c r="A76" s="397" t="s">
        <v>875</v>
      </c>
      <c r="B76" s="505"/>
      <c r="C76" s="489"/>
      <c r="D76" s="489"/>
      <c r="E76" s="489"/>
      <c r="F76" s="446"/>
      <c r="G76" s="494"/>
      <c r="H76" s="494"/>
      <c r="I76" s="446"/>
      <c r="J76" s="425"/>
    </row>
    <row r="77" spans="1:10" ht="34.5" customHeight="1" x14ac:dyDescent="0.2">
      <c r="A77" s="397" t="s">
        <v>876</v>
      </c>
      <c r="B77" s="489"/>
      <c r="C77" s="498">
        <v>12.33</v>
      </c>
      <c r="D77" s="489">
        <v>1632000</v>
      </c>
      <c r="E77" s="489">
        <f>C77*D77</f>
        <v>20122560</v>
      </c>
      <c r="F77" s="446"/>
      <c r="G77" s="395">
        <v>13.81</v>
      </c>
      <c r="H77" s="394">
        <v>1632000</v>
      </c>
      <c r="I77" s="394">
        <f>G77*H77</f>
        <v>22537920</v>
      </c>
      <c r="J77" s="430"/>
    </row>
    <row r="78" spans="1:10" ht="13.5" customHeight="1" x14ac:dyDescent="0.2">
      <c r="A78" s="397" t="s">
        <v>877</v>
      </c>
      <c r="B78" s="489"/>
      <c r="C78" s="489"/>
      <c r="D78" s="489"/>
      <c r="E78" s="492">
        <v>7038795</v>
      </c>
      <c r="F78" s="446"/>
      <c r="G78" s="494"/>
      <c r="H78" s="494"/>
      <c r="I78" s="393">
        <v>10352656</v>
      </c>
      <c r="J78" s="431"/>
    </row>
    <row r="79" spans="1:10" ht="13.5" customHeight="1" x14ac:dyDescent="0.2">
      <c r="A79" s="486" t="s">
        <v>878</v>
      </c>
      <c r="B79" s="489"/>
      <c r="C79" s="489"/>
      <c r="D79" s="489"/>
      <c r="E79" s="492"/>
      <c r="F79" s="446"/>
      <c r="G79" s="393">
        <v>280</v>
      </c>
      <c r="H79" s="393">
        <v>285</v>
      </c>
      <c r="I79" s="393">
        <f>G79*H79</f>
        <v>79800</v>
      </c>
      <c r="J79" s="425"/>
    </row>
    <row r="80" spans="1:10" ht="31.5" customHeight="1" x14ac:dyDescent="0.2">
      <c r="A80" s="397" t="s">
        <v>879</v>
      </c>
      <c r="B80" s="489"/>
      <c r="C80" s="489"/>
      <c r="D80" s="489"/>
      <c r="E80" s="492">
        <v>0</v>
      </c>
      <c r="F80" s="446"/>
      <c r="G80" s="494"/>
      <c r="H80" s="494"/>
      <c r="I80" s="393">
        <v>0</v>
      </c>
      <c r="J80" s="425"/>
    </row>
    <row r="81" spans="1:256" ht="28.5" customHeight="1" x14ac:dyDescent="0.2">
      <c r="A81" s="493"/>
      <c r="B81" s="489"/>
      <c r="C81" s="489"/>
      <c r="D81" s="489"/>
      <c r="E81" s="508"/>
      <c r="F81" s="446"/>
      <c r="G81" s="494"/>
      <c r="H81" s="494"/>
      <c r="I81" s="446"/>
      <c r="J81" s="425"/>
      <c r="K81" s="495"/>
    </row>
    <row r="82" spans="1:256" ht="13.5" customHeight="1" x14ac:dyDescent="0.2">
      <c r="A82" s="496" t="s">
        <v>880</v>
      </c>
      <c r="B82" s="489"/>
      <c r="C82" s="489"/>
      <c r="D82" s="489"/>
      <c r="E82" s="508"/>
      <c r="F82" s="446"/>
      <c r="G82" s="494"/>
      <c r="H82" s="494"/>
      <c r="I82" s="446"/>
      <c r="J82" s="425"/>
    </row>
    <row r="83" spans="1:256" ht="13.5" customHeight="1" x14ac:dyDescent="0.2">
      <c r="A83" s="397" t="s">
        <v>881</v>
      </c>
      <c r="B83" s="489"/>
      <c r="C83" s="489"/>
      <c r="D83" s="489"/>
      <c r="E83" s="508"/>
      <c r="F83" s="446"/>
      <c r="G83" s="494"/>
      <c r="H83" s="494"/>
      <c r="I83" s="446"/>
      <c r="J83" s="425"/>
    </row>
    <row r="84" spans="1:256" ht="13.5" customHeight="1" x14ac:dyDescent="0.2">
      <c r="A84" s="397" t="s">
        <v>882</v>
      </c>
      <c r="B84" s="489"/>
      <c r="C84" s="489">
        <v>4865</v>
      </c>
      <c r="D84" s="489">
        <v>1140</v>
      </c>
      <c r="E84" s="509"/>
      <c r="F84" s="446"/>
      <c r="G84" s="394">
        <v>4837</v>
      </c>
      <c r="H84" s="394">
        <v>1140</v>
      </c>
      <c r="I84" s="208">
        <f>G84*H84</f>
        <v>5514180</v>
      </c>
      <c r="J84" s="425"/>
    </row>
    <row r="85" spans="1:256" ht="30" customHeight="1" x14ac:dyDescent="0.2">
      <c r="A85" s="486" t="s">
        <v>883</v>
      </c>
      <c r="B85" s="489"/>
      <c r="C85" s="489"/>
      <c r="D85" s="489"/>
      <c r="E85" s="509"/>
      <c r="F85" s="446"/>
      <c r="G85" s="489"/>
      <c r="H85" s="489"/>
      <c r="I85" s="208">
        <v>0</v>
      </c>
      <c r="J85" s="425"/>
    </row>
    <row r="86" spans="1:256" ht="13.5" customHeight="1" x14ac:dyDescent="0.2">
      <c r="A86" s="500"/>
      <c r="B86" s="505"/>
      <c r="C86" s="489"/>
      <c r="D86" s="503"/>
      <c r="E86" s="489"/>
      <c r="F86" s="446"/>
      <c r="G86" s="494"/>
      <c r="H86" s="494"/>
      <c r="I86" s="446"/>
      <c r="J86" s="425"/>
      <c r="K86" s="495"/>
    </row>
    <row r="87" spans="1:256" ht="25.5" customHeight="1" x14ac:dyDescent="0.2">
      <c r="A87" s="510" t="s">
        <v>884</v>
      </c>
      <c r="B87" s="505"/>
      <c r="C87" s="511"/>
      <c r="D87" s="489"/>
      <c r="E87" s="492"/>
      <c r="F87" s="505"/>
      <c r="G87" s="494"/>
      <c r="H87" s="494"/>
      <c r="I87" s="446"/>
      <c r="J87" s="425"/>
      <c r="K87" s="495"/>
      <c r="L87" s="495"/>
      <c r="N87" s="207"/>
    </row>
    <row r="88" spans="1:256" ht="13.5" customHeight="1" thickBot="1" x14ac:dyDescent="0.25">
      <c r="A88" s="512"/>
      <c r="B88" s="513"/>
      <c r="C88" s="514"/>
      <c r="D88" s="515"/>
      <c r="E88" s="514"/>
      <c r="F88" s="516"/>
      <c r="G88" s="517"/>
      <c r="H88" s="517"/>
      <c r="I88" s="516"/>
      <c r="J88" s="425"/>
    </row>
    <row r="89" spans="1:256" ht="11.25" customHeight="1" thickBot="1" x14ac:dyDescent="0.25">
      <c r="A89" s="518" t="s">
        <v>885</v>
      </c>
      <c r="B89" s="519"/>
      <c r="C89" s="519"/>
      <c r="D89" s="520"/>
      <c r="E89" s="521">
        <f>E12+E14+E17+E20+E23+E28+E31+E34+E39+E40+E41+E42+E44+E49+E51+E54+E58+E59+E63+E64+E67+E68+E69+E72+E74+E75+E77+E78</f>
        <v>987821085</v>
      </c>
      <c r="F89" s="1428">
        <f>I12+I16+I19+I22+I25+I28+I31+I34+I35+I39+I40+I41+I42+I44+I49+I50+I51+I52+I54+I58+I59+I66+I67+I68+I69+I72+I74+I75+I77+I78+I79+I80+I84+I45+I46+I43+I55</f>
        <v>992732374</v>
      </c>
      <c r="G89" s="1428"/>
      <c r="H89" s="1428"/>
      <c r="I89" s="1429"/>
      <c r="J89" s="7"/>
      <c r="K89" s="522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34"/>
      <c r="B91" s="134"/>
      <c r="C91" s="134"/>
      <c r="D91" s="134"/>
      <c r="E91" s="138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39"/>
  <sheetViews>
    <sheetView topLeftCell="A16" workbookViewId="0">
      <selection activeCell="F36" sqref="F36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73" customWidth="1"/>
    <col min="6" max="6" width="15.140625" style="3" customWidth="1"/>
    <col min="7" max="7" width="0" style="173" hidden="1" customWidth="1"/>
    <col min="8" max="8" width="0" style="216" hidden="1" customWidth="1"/>
    <col min="9" max="9" width="10.28515625" style="173" hidden="1" customWidth="1"/>
    <col min="10" max="16384" width="9.140625" style="4"/>
  </cols>
  <sheetData>
    <row r="1" spans="1:14" ht="27.75" customHeight="1" x14ac:dyDescent="0.2">
      <c r="A1" s="1452" t="s">
        <v>1348</v>
      </c>
      <c r="B1" s="1452"/>
      <c r="C1" s="1452"/>
      <c r="D1" s="1452"/>
      <c r="E1" s="1452"/>
      <c r="F1" s="1452"/>
      <c r="G1" s="1452"/>
      <c r="H1" s="1452"/>
      <c r="I1" s="1452"/>
    </row>
    <row r="3" spans="1:14" ht="15" customHeight="1" x14ac:dyDescent="0.2">
      <c r="B3" s="1455" t="s">
        <v>77</v>
      </c>
      <c r="C3" s="1455"/>
      <c r="D3" s="1455"/>
      <c r="E3" s="1455"/>
      <c r="F3" s="1455"/>
      <c r="G3" s="1456"/>
      <c r="H3" s="1456"/>
      <c r="I3" s="1456"/>
    </row>
    <row r="4" spans="1:14" ht="15" customHeight="1" x14ac:dyDescent="0.2">
      <c r="B4" s="1459" t="s">
        <v>1151</v>
      </c>
      <c r="C4" s="1459"/>
      <c r="D4" s="1459"/>
      <c r="E4" s="1459"/>
      <c r="F4" s="1459"/>
      <c r="G4" s="4"/>
      <c r="H4" s="4"/>
      <c r="I4" s="4"/>
    </row>
    <row r="5" spans="1:14" ht="15" customHeight="1" x14ac:dyDescent="0.2">
      <c r="B5" s="1455"/>
      <c r="C5" s="1455"/>
      <c r="D5" s="1455"/>
      <c r="E5" s="1455"/>
    </row>
    <row r="6" spans="1:14" ht="15" customHeight="1" thickBot="1" x14ac:dyDescent="0.25">
      <c r="B6" s="1457" t="s">
        <v>302</v>
      </c>
      <c r="C6" s="1458"/>
      <c r="D6" s="1458"/>
      <c r="E6" s="1458"/>
      <c r="F6" s="1458"/>
      <c r="G6" s="1458"/>
      <c r="H6" s="1458"/>
      <c r="I6" s="1458"/>
    </row>
    <row r="7" spans="1:14" ht="48.75" customHeight="1" x14ac:dyDescent="0.2">
      <c r="B7" s="163" t="s">
        <v>85</v>
      </c>
      <c r="C7" s="116" t="s">
        <v>1153</v>
      </c>
      <c r="D7" s="1454" t="s">
        <v>1152</v>
      </c>
      <c r="E7" s="1454"/>
      <c r="F7" s="1454"/>
      <c r="G7" s="1454" t="s">
        <v>562</v>
      </c>
      <c r="H7" s="1454"/>
      <c r="I7" s="1454"/>
      <c r="J7" s="1449" t="s">
        <v>1400</v>
      </c>
      <c r="K7" s="1450"/>
      <c r="L7" s="1450" t="s">
        <v>1399</v>
      </c>
      <c r="M7" s="1450"/>
      <c r="N7" s="1451"/>
    </row>
    <row r="8" spans="1:14" ht="35.450000000000003" customHeight="1" x14ac:dyDescent="0.2">
      <c r="B8" s="164"/>
      <c r="C8" s="27"/>
      <c r="D8" s="117" t="s">
        <v>62</v>
      </c>
      <c r="E8" s="165" t="s">
        <v>63</v>
      </c>
      <c r="F8" s="165" t="s">
        <v>1056</v>
      </c>
      <c r="G8" s="4"/>
      <c r="H8" s="4"/>
      <c r="I8" s="4"/>
      <c r="J8" s="942" t="s">
        <v>62</v>
      </c>
      <c r="K8" s="782" t="s">
        <v>63</v>
      </c>
      <c r="L8" s="782" t="s">
        <v>62</v>
      </c>
      <c r="M8" s="782" t="s">
        <v>63</v>
      </c>
      <c r="N8" s="943" t="s">
        <v>64</v>
      </c>
    </row>
    <row r="9" spans="1:14" ht="15.95" customHeight="1" x14ac:dyDescent="0.2">
      <c r="B9" s="166" t="s">
        <v>574</v>
      </c>
      <c r="C9" s="167"/>
      <c r="D9" s="168"/>
      <c r="E9" s="169"/>
      <c r="F9" s="354"/>
      <c r="G9" s="4"/>
      <c r="H9" s="4"/>
      <c r="I9" s="4"/>
      <c r="J9" s="433"/>
    </row>
    <row r="10" spans="1:14" ht="36" customHeight="1" x14ac:dyDescent="0.2">
      <c r="B10" s="1272" t="s">
        <v>575</v>
      </c>
      <c r="C10" s="1273" t="s">
        <v>559</v>
      </c>
      <c r="D10" s="1274">
        <v>125390</v>
      </c>
      <c r="E10" s="1274">
        <v>98610</v>
      </c>
      <c r="F10" s="1274">
        <f>SUM(D10:E10)</f>
        <v>224000</v>
      </c>
      <c r="G10" s="1275"/>
      <c r="H10" s="1275"/>
      <c r="I10" s="1275"/>
      <c r="J10" s="1275"/>
      <c r="K10" s="1275"/>
      <c r="L10" s="1275"/>
      <c r="M10" s="1275"/>
      <c r="N10" s="1275"/>
    </row>
    <row r="11" spans="1:14" ht="23.25" customHeight="1" x14ac:dyDescent="0.2">
      <c r="B11" s="1272" t="s">
        <v>576</v>
      </c>
      <c r="C11" s="1272" t="s">
        <v>1154</v>
      </c>
      <c r="D11" s="1274">
        <v>82034</v>
      </c>
      <c r="E11" s="1274">
        <v>477966</v>
      </c>
      <c r="F11" s="1274">
        <f>SUM(D11:E11)</f>
        <v>560000</v>
      </c>
      <c r="G11" s="1275"/>
      <c r="H11" s="1275"/>
      <c r="I11" s="1275"/>
      <c r="J11" s="1276"/>
      <c r="K11" s="1275"/>
      <c r="L11" s="1275"/>
      <c r="M11" s="1275"/>
      <c r="N11" s="1275"/>
    </row>
    <row r="12" spans="1:14" ht="22.5" customHeight="1" x14ac:dyDescent="0.2">
      <c r="B12" s="1272" t="s">
        <v>577</v>
      </c>
      <c r="C12" s="1277" t="s">
        <v>578</v>
      </c>
      <c r="D12" s="1274">
        <v>138919</v>
      </c>
      <c r="E12" s="1274">
        <v>286081</v>
      </c>
      <c r="F12" s="1274">
        <f>SUM(D12:E12)</f>
        <v>425000</v>
      </c>
      <c r="G12" s="1275"/>
      <c r="H12" s="1275"/>
      <c r="I12" s="1275"/>
      <c r="J12" s="1275"/>
      <c r="K12" s="1275"/>
      <c r="L12" s="1275"/>
      <c r="M12" s="1275"/>
      <c r="N12" s="1275"/>
    </row>
    <row r="13" spans="1:14" ht="23.25" customHeight="1" x14ac:dyDescent="0.2">
      <c r="B13" s="1278" t="s">
        <v>579</v>
      </c>
      <c r="C13" s="1277"/>
      <c r="D13" s="1279">
        <f>SUM(D10:D12)</f>
        <v>346343</v>
      </c>
      <c r="E13" s="1279">
        <f>SUM(E10:E12)</f>
        <v>862657</v>
      </c>
      <c r="F13" s="1279">
        <f>SUM(D13:E13)</f>
        <v>1209000</v>
      </c>
      <c r="G13" s="1275"/>
      <c r="H13" s="1275"/>
      <c r="I13" s="1275"/>
      <c r="J13" s="1275"/>
      <c r="K13" s="1275"/>
      <c r="L13" s="1275"/>
      <c r="M13" s="1275"/>
      <c r="N13" s="1275"/>
    </row>
    <row r="14" spans="1:14" ht="15.95" customHeight="1" x14ac:dyDescent="0.2">
      <c r="B14" s="1280"/>
      <c r="C14" s="1281"/>
      <c r="D14" s="1282"/>
      <c r="E14" s="1282"/>
      <c r="F14" s="1282"/>
      <c r="G14" s="1275"/>
      <c r="H14" s="1275"/>
      <c r="I14" s="1275"/>
      <c r="J14" s="1275"/>
      <c r="K14" s="1275"/>
      <c r="L14" s="1275"/>
      <c r="M14" s="1275"/>
      <c r="N14" s="1275"/>
    </row>
    <row r="15" spans="1:14" s="224" customFormat="1" ht="17.25" customHeight="1" x14ac:dyDescent="0.2">
      <c r="B15" s="1283" t="s">
        <v>580</v>
      </c>
      <c r="C15" s="1284"/>
      <c r="D15" s="1285">
        <v>4500</v>
      </c>
      <c r="E15" s="1285"/>
      <c r="F15" s="1285">
        <f>D15+E15</f>
        <v>4500</v>
      </c>
      <c r="G15" s="1286"/>
      <c r="H15" s="1286"/>
      <c r="I15" s="1286"/>
      <c r="J15" s="1286"/>
      <c r="K15" s="1286"/>
      <c r="L15" s="1286"/>
      <c r="M15" s="1286"/>
      <c r="N15" s="1286"/>
    </row>
    <row r="16" spans="1:14" ht="15.95" customHeight="1" x14ac:dyDescent="0.2">
      <c r="B16" s="1287"/>
      <c r="C16" s="1288"/>
      <c r="D16" s="1282"/>
      <c r="E16" s="1282"/>
      <c r="F16" s="1282"/>
      <c r="G16" s="1275"/>
      <c r="H16" s="1275"/>
      <c r="I16" s="1275"/>
      <c r="J16" s="1275"/>
      <c r="K16" s="1275"/>
      <c r="L16" s="1275"/>
      <c r="M16" s="1275"/>
      <c r="N16" s="1275"/>
    </row>
    <row r="17" spans="1:14" ht="15.95" customHeight="1" x14ac:dyDescent="0.2">
      <c r="B17" s="1453" t="s">
        <v>581</v>
      </c>
      <c r="C17" s="1453"/>
      <c r="D17" s="1282"/>
      <c r="E17" s="1282"/>
      <c r="F17" s="1282"/>
      <c r="G17" s="1275"/>
      <c r="H17" s="1275"/>
      <c r="I17" s="1275"/>
      <c r="J17" s="1275"/>
      <c r="K17" s="1275"/>
      <c r="L17" s="1275"/>
      <c r="M17" s="1275"/>
      <c r="N17" s="1275"/>
    </row>
    <row r="18" spans="1:14" ht="15.95" customHeight="1" x14ac:dyDescent="0.2">
      <c r="B18" s="1280"/>
      <c r="C18" s="1281"/>
      <c r="D18" s="1282"/>
      <c r="E18" s="1282"/>
      <c r="F18" s="1282"/>
      <c r="G18" s="1275"/>
      <c r="H18" s="1275"/>
      <c r="I18" s="1275"/>
      <c r="J18" s="1275"/>
      <c r="K18" s="1275"/>
      <c r="L18" s="1275"/>
      <c r="M18" s="1275"/>
      <c r="N18" s="1275"/>
    </row>
    <row r="19" spans="1:14" ht="78.75" customHeight="1" x14ac:dyDescent="0.2">
      <c r="B19" s="1289" t="s">
        <v>582</v>
      </c>
      <c r="C19" s="1290" t="s">
        <v>583</v>
      </c>
      <c r="D19" s="1282">
        <v>17000</v>
      </c>
      <c r="E19" s="1282"/>
      <c r="F19" s="1282">
        <f t="shared" ref="F19:F29" si="0">SUM(D19:E19)</f>
        <v>17000</v>
      </c>
      <c r="G19" s="1275"/>
      <c r="H19" s="1275"/>
      <c r="I19" s="1275"/>
      <c r="J19" s="1275"/>
      <c r="K19" s="1275"/>
      <c r="L19" s="1275"/>
      <c r="M19" s="1275"/>
      <c r="N19" s="1275"/>
    </row>
    <row r="20" spans="1:14" ht="15.95" customHeight="1" x14ac:dyDescent="0.2">
      <c r="A20" s="4"/>
      <c r="B20" s="1287" t="s">
        <v>584</v>
      </c>
      <c r="C20" s="1288"/>
      <c r="D20" s="1285">
        <f>SUM(D18:D19)</f>
        <v>17000</v>
      </c>
      <c r="E20" s="1285"/>
      <c r="F20" s="1285">
        <f t="shared" si="0"/>
        <v>17000</v>
      </c>
      <c r="G20" s="1275"/>
      <c r="H20" s="1275"/>
      <c r="I20" s="1275"/>
      <c r="J20" s="1275"/>
      <c r="K20" s="1275"/>
      <c r="L20" s="1275"/>
      <c r="M20" s="1275"/>
      <c r="N20" s="1275"/>
    </row>
    <row r="21" spans="1:14" ht="15.95" customHeight="1" x14ac:dyDescent="0.2">
      <c r="A21" s="4"/>
      <c r="B21" s="1287"/>
      <c r="C21" s="1288"/>
      <c r="D21" s="1282"/>
      <c r="E21" s="1282"/>
      <c r="F21" s="1282"/>
      <c r="G21" s="1275"/>
      <c r="H21" s="1275"/>
      <c r="I21" s="1275"/>
      <c r="J21" s="1275"/>
      <c r="K21" s="1275"/>
      <c r="L21" s="1275"/>
      <c r="M21" s="1275"/>
      <c r="N21" s="1275"/>
    </row>
    <row r="22" spans="1:14" ht="15.95" customHeight="1" x14ac:dyDescent="0.2">
      <c r="A22" s="4"/>
      <c r="B22" s="1291" t="s">
        <v>585</v>
      </c>
      <c r="C22" s="1288"/>
      <c r="D22" s="1282"/>
      <c r="E22" s="1282"/>
      <c r="F22" s="1282"/>
      <c r="G22" s="1275"/>
      <c r="H22" s="1275"/>
      <c r="I22" s="1275"/>
      <c r="J22" s="1275"/>
      <c r="K22" s="1275"/>
      <c r="L22" s="1275"/>
      <c r="M22" s="1275"/>
      <c r="N22" s="1275"/>
    </row>
    <row r="23" spans="1:14" ht="15.95" customHeight="1" x14ac:dyDescent="0.2">
      <c r="A23" s="4"/>
      <c r="B23" s="1280" t="s">
        <v>586</v>
      </c>
      <c r="C23" s="1288"/>
      <c r="D23" s="1282"/>
      <c r="E23" s="1282"/>
      <c r="F23" s="1282">
        <f t="shared" si="0"/>
        <v>0</v>
      </c>
      <c r="G23" s="1275"/>
      <c r="H23" s="1275"/>
      <c r="I23" s="1275"/>
      <c r="J23" s="1275"/>
      <c r="K23" s="1275"/>
      <c r="L23" s="1275"/>
      <c r="M23" s="1275"/>
      <c r="N23" s="1275"/>
    </row>
    <row r="24" spans="1:14" s="224" customFormat="1" ht="15.95" customHeight="1" x14ac:dyDescent="0.2">
      <c r="B24" s="1275" t="s">
        <v>105</v>
      </c>
      <c r="C24" s="1292"/>
      <c r="D24" s="1282">
        <v>820</v>
      </c>
      <c r="E24" s="1282"/>
      <c r="F24" s="1282">
        <f t="shared" si="0"/>
        <v>820</v>
      </c>
      <c r="G24" s="1275"/>
      <c r="H24" s="1286"/>
      <c r="I24" s="1286"/>
      <c r="J24" s="1286"/>
      <c r="K24" s="1286"/>
      <c r="L24" s="1286"/>
      <c r="M24" s="1286"/>
      <c r="N24" s="1286"/>
    </row>
    <row r="25" spans="1:14" s="224" customFormat="1" ht="15.95" customHeight="1" x14ac:dyDescent="0.2">
      <c r="B25" s="1275" t="s">
        <v>547</v>
      </c>
      <c r="C25" s="1292"/>
      <c r="D25" s="1282">
        <v>9000</v>
      </c>
      <c r="E25" s="1282"/>
      <c r="F25" s="1282">
        <f>SUM(D25:E25)</f>
        <v>9000</v>
      </c>
      <c r="G25" s="1275"/>
      <c r="H25" s="1286"/>
      <c r="I25" s="1286"/>
      <c r="J25" s="1286"/>
      <c r="K25" s="1286"/>
      <c r="L25" s="1286"/>
      <c r="M25" s="1286"/>
      <c r="N25" s="1286"/>
    </row>
    <row r="26" spans="1:14" ht="15.95" customHeight="1" x14ac:dyDescent="0.2">
      <c r="A26" s="4"/>
      <c r="B26" s="1280" t="s">
        <v>587</v>
      </c>
      <c r="C26" s="1288"/>
      <c r="D26" s="1282">
        <v>84</v>
      </c>
      <c r="E26" s="1282"/>
      <c r="F26" s="1282">
        <f t="shared" si="0"/>
        <v>84</v>
      </c>
      <c r="G26" s="1275"/>
      <c r="H26" s="1275"/>
      <c r="I26" s="1275"/>
      <c r="J26" s="1275"/>
      <c r="K26" s="1275"/>
      <c r="L26" s="1275"/>
      <c r="M26" s="1275"/>
      <c r="N26" s="1275"/>
    </row>
    <row r="27" spans="1:14" ht="15.95" customHeight="1" x14ac:dyDescent="0.2">
      <c r="A27" s="4"/>
      <c r="B27" s="1280" t="s">
        <v>588</v>
      </c>
      <c r="C27" s="1288"/>
      <c r="D27" s="1282"/>
      <c r="E27" s="1282"/>
      <c r="F27" s="1282">
        <f t="shared" si="0"/>
        <v>0</v>
      </c>
      <c r="G27" s="1275"/>
      <c r="H27" s="1275"/>
      <c r="I27" s="1275"/>
      <c r="J27" s="1275"/>
      <c r="K27" s="1275"/>
      <c r="L27" s="1275"/>
      <c r="M27" s="1275"/>
      <c r="N27" s="1275"/>
    </row>
    <row r="28" spans="1:14" ht="15.95" customHeight="1" x14ac:dyDescent="0.2">
      <c r="A28" s="4"/>
      <c r="B28" s="1287" t="s">
        <v>589</v>
      </c>
      <c r="C28" s="1288"/>
      <c r="D28" s="1285">
        <f>SUM(D23:D27)</f>
        <v>9904</v>
      </c>
      <c r="E28" s="1285">
        <f>SUM(E23:E27)</f>
        <v>0</v>
      </c>
      <c r="F28" s="1285">
        <f t="shared" si="0"/>
        <v>9904</v>
      </c>
      <c r="G28" s="1275"/>
      <c r="H28" s="1275"/>
      <c r="I28" s="1275"/>
      <c r="J28" s="1275"/>
      <c r="K28" s="1275"/>
      <c r="L28" s="1275"/>
      <c r="M28" s="1275"/>
      <c r="N28" s="1275"/>
    </row>
    <row r="29" spans="1:14" ht="15.95" customHeight="1" thickBot="1" x14ac:dyDescent="0.25">
      <c r="A29" s="4"/>
      <c r="B29" s="1293"/>
      <c r="C29" s="1294"/>
      <c r="D29" s="1295"/>
      <c r="E29" s="1295"/>
      <c r="F29" s="1295">
        <f t="shared" si="0"/>
        <v>0</v>
      </c>
      <c r="G29" s="1296"/>
      <c r="H29" s="1296"/>
      <c r="I29" s="1296"/>
      <c r="J29" s="1296"/>
      <c r="K29" s="1296"/>
      <c r="L29" s="1296"/>
      <c r="M29" s="1296"/>
      <c r="N29" s="1296"/>
    </row>
    <row r="30" spans="1:14" ht="15.95" customHeight="1" thickBot="1" x14ac:dyDescent="0.25">
      <c r="A30" s="4"/>
      <c r="B30" s="1297" t="s">
        <v>590</v>
      </c>
      <c r="C30" s="1298"/>
      <c r="D30" s="1299">
        <f>D13+D15+D20+D28</f>
        <v>377747</v>
      </c>
      <c r="E30" s="1299">
        <f>E13+E15+E20+E28</f>
        <v>862657</v>
      </c>
      <c r="F30" s="1299">
        <f>SUM(D30:E30)</f>
        <v>1240404</v>
      </c>
      <c r="G30" s="1300"/>
      <c r="H30" s="1300"/>
      <c r="I30" s="1300"/>
      <c r="J30" s="1300"/>
      <c r="K30" s="1300"/>
      <c r="L30" s="1300"/>
      <c r="M30" s="1300"/>
      <c r="N30" s="1301"/>
    </row>
    <row r="31" spans="1:14" ht="15.95" customHeight="1" x14ac:dyDescent="0.2">
      <c r="A31" s="4"/>
      <c r="G31" s="4"/>
      <c r="H31" s="4"/>
      <c r="I31" s="4"/>
    </row>
    <row r="32" spans="1:14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73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93"/>
  <sheetViews>
    <sheetView topLeftCell="A13" zoomScale="200" zoomScaleNormal="200" workbookViewId="0">
      <selection activeCell="F7" sqref="F7:J8"/>
    </sheetView>
  </sheetViews>
  <sheetFormatPr defaultColWidth="9.140625" defaultRowHeight="11.25" x14ac:dyDescent="0.2"/>
  <cols>
    <col min="1" max="1" width="4.85546875" style="122" customWidth="1"/>
    <col min="2" max="2" width="57.5703125" style="139" customWidth="1"/>
    <col min="3" max="3" width="8.7109375" style="119" customWidth="1"/>
    <col min="4" max="4" width="9.5703125" style="119" customWidth="1"/>
    <col min="5" max="5" width="8.28515625" style="119" customWidth="1"/>
    <col min="6" max="16384" width="9.140625" style="8"/>
  </cols>
  <sheetData>
    <row r="1" spans="1:10" x14ac:dyDescent="0.2">
      <c r="B1" s="1460" t="s">
        <v>1356</v>
      </c>
      <c r="C1" s="1460"/>
      <c r="D1" s="1460"/>
      <c r="E1" s="1460"/>
    </row>
    <row r="2" spans="1:10" x14ac:dyDescent="0.2">
      <c r="B2" s="140"/>
    </row>
    <row r="3" spans="1:10" x14ac:dyDescent="0.2">
      <c r="A3" s="1464" t="s">
        <v>54</v>
      </c>
      <c r="B3" s="1464"/>
      <c r="C3" s="1464"/>
      <c r="D3" s="1464"/>
      <c r="E3" s="1464"/>
    </row>
    <row r="4" spans="1:10" ht="11.25" customHeight="1" x14ac:dyDescent="0.2">
      <c r="A4" s="1464" t="s">
        <v>1155</v>
      </c>
      <c r="B4" s="1464"/>
      <c r="C4" s="1464"/>
      <c r="D4" s="1464"/>
      <c r="E4" s="1464"/>
    </row>
    <row r="5" spans="1:10" x14ac:dyDescent="0.2">
      <c r="A5" s="1464" t="s">
        <v>1119</v>
      </c>
      <c r="B5" s="1464"/>
      <c r="C5" s="1464"/>
      <c r="D5" s="1464"/>
      <c r="E5" s="1464"/>
    </row>
    <row r="6" spans="1:10" ht="12.75" x14ac:dyDescent="0.2">
      <c r="B6" s="1465" t="s">
        <v>302</v>
      </c>
      <c r="C6" s="1466"/>
      <c r="D6" s="1466"/>
      <c r="E6" s="1466"/>
    </row>
    <row r="7" spans="1:10" ht="24" customHeight="1" x14ac:dyDescent="0.2">
      <c r="A7" s="1399" t="s">
        <v>76</v>
      </c>
      <c r="B7" s="1461" t="s">
        <v>85</v>
      </c>
      <c r="C7" s="1463" t="s">
        <v>1144</v>
      </c>
      <c r="D7" s="1463"/>
      <c r="E7" s="1463"/>
      <c r="F7" s="1403" t="s">
        <v>1400</v>
      </c>
      <c r="G7" s="1403"/>
      <c r="H7" s="1403" t="s">
        <v>1399</v>
      </c>
      <c r="I7" s="1403"/>
      <c r="J7" s="1403"/>
    </row>
    <row r="8" spans="1:10" ht="21" x14ac:dyDescent="0.2">
      <c r="A8" s="1467"/>
      <c r="B8" s="1462"/>
      <c r="C8" s="225" t="s">
        <v>62</v>
      </c>
      <c r="D8" s="225" t="s">
        <v>63</v>
      </c>
      <c r="E8" s="225" t="s">
        <v>64</v>
      </c>
      <c r="F8" s="782" t="s">
        <v>62</v>
      </c>
      <c r="G8" s="782" t="s">
        <v>63</v>
      </c>
      <c r="H8" s="782" t="s">
        <v>62</v>
      </c>
      <c r="I8" s="782" t="s">
        <v>63</v>
      </c>
      <c r="J8" s="783" t="s">
        <v>64</v>
      </c>
    </row>
    <row r="9" spans="1:10" x14ac:dyDescent="0.2">
      <c r="A9" s="784" t="s">
        <v>479</v>
      </c>
      <c r="B9" s="855" t="s">
        <v>86</v>
      </c>
      <c r="C9" s="788"/>
      <c r="D9" s="788"/>
      <c r="E9" s="788"/>
      <c r="F9" s="856"/>
      <c r="G9" s="856"/>
      <c r="H9" s="856"/>
      <c r="I9" s="856"/>
      <c r="J9" s="856"/>
    </row>
    <row r="10" spans="1:10" ht="12" thickBot="1" x14ac:dyDescent="0.25">
      <c r="A10" s="808" t="s">
        <v>487</v>
      </c>
      <c r="B10" s="868" t="s">
        <v>87</v>
      </c>
      <c r="C10" s="869"/>
      <c r="D10" s="870"/>
      <c r="E10" s="870">
        <f>SUM(C10:D10)</f>
        <v>0</v>
      </c>
      <c r="F10" s="871"/>
      <c r="G10" s="871"/>
      <c r="H10" s="871"/>
      <c r="I10" s="871"/>
      <c r="J10" s="871"/>
    </row>
    <row r="11" spans="1:10" s="9" customFormat="1" ht="12" thickBot="1" x14ac:dyDescent="0.25">
      <c r="A11" s="697" t="s">
        <v>488</v>
      </c>
      <c r="B11" s="876" t="s">
        <v>163</v>
      </c>
      <c r="C11" s="854">
        <f>C12+C13+C14+C15</f>
        <v>808714</v>
      </c>
      <c r="D11" s="854">
        <f t="shared" ref="D11:E11" si="0">D12+D13+D14+D15</f>
        <v>129590</v>
      </c>
      <c r="E11" s="854">
        <f t="shared" si="0"/>
        <v>938304</v>
      </c>
      <c r="F11" s="877"/>
      <c r="G11" s="877"/>
      <c r="H11" s="877"/>
      <c r="I11" s="877"/>
      <c r="J11" s="878"/>
    </row>
    <row r="12" spans="1:10" s="9" customFormat="1" x14ac:dyDescent="0.2">
      <c r="A12" s="872" t="s">
        <v>489</v>
      </c>
      <c r="B12" s="873" t="s">
        <v>160</v>
      </c>
      <c r="C12" s="874">
        <v>608154</v>
      </c>
      <c r="D12" s="874"/>
      <c r="E12" s="874">
        <f t="shared" ref="E12:E15" si="1">C12+D12</f>
        <v>608154</v>
      </c>
      <c r="F12" s="875"/>
      <c r="G12" s="875"/>
      <c r="H12" s="875"/>
      <c r="I12" s="875"/>
      <c r="J12" s="875"/>
    </row>
    <row r="13" spans="1:10" s="9" customFormat="1" x14ac:dyDescent="0.2">
      <c r="A13" s="784" t="s">
        <v>490</v>
      </c>
      <c r="B13" s="859" t="s">
        <v>161</v>
      </c>
      <c r="C13" s="860">
        <v>88281</v>
      </c>
      <c r="D13" s="860"/>
      <c r="E13" s="860">
        <f t="shared" si="1"/>
        <v>88281</v>
      </c>
      <c r="F13" s="858"/>
      <c r="G13" s="858"/>
      <c r="H13" s="858"/>
      <c r="I13" s="858"/>
      <c r="J13" s="858"/>
    </row>
    <row r="14" spans="1:10" s="9" customFormat="1" x14ac:dyDescent="0.2">
      <c r="A14" s="784" t="s">
        <v>491</v>
      </c>
      <c r="B14" s="859" t="s">
        <v>162</v>
      </c>
      <c r="C14" s="860">
        <v>102158</v>
      </c>
      <c r="D14" s="860">
        <v>129590</v>
      </c>
      <c r="E14" s="860">
        <f t="shared" si="1"/>
        <v>231748</v>
      </c>
      <c r="F14" s="858"/>
      <c r="G14" s="858"/>
      <c r="H14" s="858"/>
      <c r="I14" s="858"/>
      <c r="J14" s="858"/>
    </row>
    <row r="15" spans="1:10" s="9" customFormat="1" x14ac:dyDescent="0.2">
      <c r="A15" s="784" t="s">
        <v>492</v>
      </c>
      <c r="B15" s="859" t="s">
        <v>179</v>
      </c>
      <c r="C15" s="788">
        <v>10121</v>
      </c>
      <c r="D15" s="788"/>
      <c r="E15" s="788">
        <f t="shared" si="1"/>
        <v>10121</v>
      </c>
      <c r="F15" s="858"/>
      <c r="G15" s="858"/>
      <c r="H15" s="858"/>
      <c r="I15" s="858"/>
      <c r="J15" s="858"/>
    </row>
    <row r="16" spans="1:10" s="9" customFormat="1" ht="12" thickBot="1" x14ac:dyDescent="0.25">
      <c r="A16" s="808" t="s">
        <v>493</v>
      </c>
      <c r="B16" s="868" t="s">
        <v>164</v>
      </c>
      <c r="C16" s="853">
        <v>0</v>
      </c>
      <c r="D16" s="853"/>
      <c r="E16" s="853">
        <v>0</v>
      </c>
      <c r="F16" s="879"/>
      <c r="G16" s="879"/>
      <c r="H16" s="879"/>
      <c r="I16" s="879"/>
      <c r="J16" s="879"/>
    </row>
    <row r="17" spans="1:10" s="9" customFormat="1" ht="12" thickBot="1" x14ac:dyDescent="0.25">
      <c r="A17" s="697" t="s">
        <v>494</v>
      </c>
      <c r="B17" s="876" t="s">
        <v>187</v>
      </c>
      <c r="C17" s="695">
        <v>2272</v>
      </c>
      <c r="D17" s="695"/>
      <c r="E17" s="695">
        <f>C17+D17</f>
        <v>2272</v>
      </c>
      <c r="F17" s="877"/>
      <c r="G17" s="877"/>
      <c r="H17" s="877"/>
      <c r="I17" s="877"/>
      <c r="J17" s="878"/>
    </row>
    <row r="18" spans="1:10" s="9" customFormat="1" ht="12" thickBot="1" x14ac:dyDescent="0.25">
      <c r="A18" s="697" t="s">
        <v>530</v>
      </c>
      <c r="B18" s="876" t="s">
        <v>282</v>
      </c>
      <c r="C18" s="695">
        <v>152</v>
      </c>
      <c r="D18" s="695">
        <v>1496</v>
      </c>
      <c r="E18" s="695">
        <f>C18+D18</f>
        <v>1648</v>
      </c>
      <c r="F18" s="877"/>
      <c r="G18" s="877"/>
      <c r="H18" s="877"/>
      <c r="I18" s="877"/>
      <c r="J18" s="878"/>
    </row>
    <row r="19" spans="1:10" x14ac:dyDescent="0.2">
      <c r="A19" s="872" t="s">
        <v>531</v>
      </c>
      <c r="B19" s="881"/>
      <c r="C19" s="882"/>
      <c r="D19" s="882"/>
      <c r="E19" s="882"/>
      <c r="F19" s="883"/>
      <c r="G19" s="883"/>
      <c r="H19" s="883"/>
      <c r="I19" s="883"/>
      <c r="J19" s="883"/>
    </row>
    <row r="20" spans="1:10" x14ac:dyDescent="0.2">
      <c r="A20" s="784" t="s">
        <v>532</v>
      </c>
      <c r="B20" s="857" t="s">
        <v>17</v>
      </c>
      <c r="C20" s="786"/>
      <c r="D20" s="786"/>
      <c r="E20" s="786"/>
      <c r="F20" s="856"/>
      <c r="G20" s="856"/>
      <c r="H20" s="856"/>
      <c r="I20" s="856"/>
      <c r="J20" s="856"/>
    </row>
    <row r="21" spans="1:10" x14ac:dyDescent="0.2">
      <c r="A21" s="784" t="s">
        <v>533</v>
      </c>
      <c r="B21" s="801" t="s">
        <v>963</v>
      </c>
      <c r="C21" s="799">
        <f>C22</f>
        <v>0</v>
      </c>
      <c r="D21" s="799">
        <f t="shared" ref="D21" si="2">D22</f>
        <v>275</v>
      </c>
      <c r="E21" s="799">
        <f t="shared" ref="E21" si="3">E22</f>
        <v>275</v>
      </c>
      <c r="F21" s="856"/>
      <c r="G21" s="856"/>
      <c r="H21" s="856"/>
      <c r="I21" s="856"/>
      <c r="J21" s="856"/>
    </row>
    <row r="22" spans="1:10" x14ac:dyDescent="0.2">
      <c r="A22" s="784" t="s">
        <v>534</v>
      </c>
      <c r="B22" s="789" t="s">
        <v>1272</v>
      </c>
      <c r="C22" s="793"/>
      <c r="D22" s="793">
        <v>275</v>
      </c>
      <c r="E22" s="793">
        <f>SUM(C22:D22)</f>
        <v>275</v>
      </c>
      <c r="F22" s="856"/>
      <c r="G22" s="856"/>
      <c r="H22" s="856"/>
      <c r="I22" s="856"/>
      <c r="J22" s="856"/>
    </row>
    <row r="23" spans="1:10" x14ac:dyDescent="0.2">
      <c r="A23" s="784" t="s">
        <v>535</v>
      </c>
      <c r="B23" s="801" t="s">
        <v>1273</v>
      </c>
      <c r="C23" s="799">
        <f>C24</f>
        <v>350</v>
      </c>
      <c r="D23" s="799">
        <f t="shared" ref="D23" si="4">D24</f>
        <v>0</v>
      </c>
      <c r="E23" s="799">
        <f t="shared" ref="E23" si="5">E24</f>
        <v>350</v>
      </c>
      <c r="F23" s="856"/>
      <c r="G23" s="856"/>
      <c r="H23" s="856"/>
      <c r="I23" s="856"/>
      <c r="J23" s="856"/>
    </row>
    <row r="24" spans="1:10" x14ac:dyDescent="0.2">
      <c r="A24" s="784" t="s">
        <v>536</v>
      </c>
      <c r="B24" s="789" t="s">
        <v>157</v>
      </c>
      <c r="C24" s="793">
        <v>350</v>
      </c>
      <c r="D24" s="793"/>
      <c r="E24" s="793">
        <f>SUM(C24:D24)</f>
        <v>350</v>
      </c>
      <c r="F24" s="856"/>
      <c r="G24" s="856"/>
      <c r="H24" s="856"/>
      <c r="I24" s="856"/>
      <c r="J24" s="856"/>
    </row>
    <row r="25" spans="1:10" x14ac:dyDescent="0.2">
      <c r="A25" s="784" t="s">
        <v>537</v>
      </c>
      <c r="B25" s="859" t="s">
        <v>1278</v>
      </c>
      <c r="C25" s="786">
        <f>SUM(C26:C33)</f>
        <v>53615</v>
      </c>
      <c r="D25" s="786">
        <f>SUM(D26:D33)</f>
        <v>8510</v>
      </c>
      <c r="E25" s="786">
        <f>SUM(E26:E33)</f>
        <v>62125</v>
      </c>
      <c r="F25" s="856"/>
      <c r="G25" s="856"/>
      <c r="H25" s="856"/>
      <c r="I25" s="856"/>
      <c r="J25" s="856"/>
    </row>
    <row r="26" spans="1:10" x14ac:dyDescent="0.2">
      <c r="A26" s="784" t="s">
        <v>539</v>
      </c>
      <c r="B26" s="861" t="s">
        <v>1162</v>
      </c>
      <c r="C26" s="788">
        <v>0</v>
      </c>
      <c r="D26" s="788"/>
      <c r="E26" s="788">
        <f>C26+D26</f>
        <v>0</v>
      </c>
      <c r="F26" s="856"/>
      <c r="G26" s="856"/>
      <c r="H26" s="856"/>
      <c r="I26" s="856"/>
      <c r="J26" s="856"/>
    </row>
    <row r="27" spans="1:10" x14ac:dyDescent="0.2">
      <c r="A27" s="784" t="s">
        <v>540</v>
      </c>
      <c r="B27" s="861" t="s">
        <v>1161</v>
      </c>
      <c r="C27" s="793">
        <v>1471</v>
      </c>
      <c r="D27" s="793"/>
      <c r="E27" s="793">
        <f>C27+D27</f>
        <v>1471</v>
      </c>
      <c r="F27" s="856"/>
      <c r="G27" s="856"/>
      <c r="H27" s="856"/>
      <c r="I27" s="856"/>
      <c r="J27" s="856"/>
    </row>
    <row r="28" spans="1:10" x14ac:dyDescent="0.2">
      <c r="A28" s="784" t="s">
        <v>541</v>
      </c>
      <c r="B28" s="861" t="s">
        <v>548</v>
      </c>
      <c r="C28" s="788">
        <v>0</v>
      </c>
      <c r="D28" s="788"/>
      <c r="E28" s="788">
        <f t="shared" ref="E28:E30" si="6">SUM(C28:D28)</f>
        <v>0</v>
      </c>
      <c r="F28" s="856"/>
      <c r="G28" s="856"/>
      <c r="H28" s="856"/>
      <c r="I28" s="856"/>
      <c r="J28" s="856"/>
    </row>
    <row r="29" spans="1:10" x14ac:dyDescent="0.2">
      <c r="A29" s="784" t="s">
        <v>542</v>
      </c>
      <c r="B29" s="861" t="s">
        <v>157</v>
      </c>
      <c r="C29" s="793">
        <v>0</v>
      </c>
      <c r="D29" s="793"/>
      <c r="E29" s="793">
        <f t="shared" si="6"/>
        <v>0</v>
      </c>
      <c r="F29" s="856"/>
      <c r="G29" s="856"/>
      <c r="H29" s="856"/>
      <c r="I29" s="856"/>
      <c r="J29" s="856"/>
    </row>
    <row r="30" spans="1:10" s="733" customFormat="1" ht="22.5" x14ac:dyDescent="0.2">
      <c r="A30" s="784" t="s">
        <v>543</v>
      </c>
      <c r="B30" s="862" t="s">
        <v>1206</v>
      </c>
      <c r="C30" s="863"/>
      <c r="D30" s="863">
        <v>8510</v>
      </c>
      <c r="E30" s="863">
        <f t="shared" si="6"/>
        <v>8510</v>
      </c>
      <c r="F30" s="864"/>
      <c r="G30" s="864"/>
      <c r="H30" s="864"/>
      <c r="I30" s="864"/>
      <c r="J30" s="864"/>
    </row>
    <row r="31" spans="1:10" ht="23.25" customHeight="1" x14ac:dyDescent="0.2">
      <c r="A31" s="784" t="s">
        <v>545</v>
      </c>
      <c r="B31" s="862" t="s">
        <v>1248</v>
      </c>
      <c r="C31" s="788"/>
      <c r="D31" s="788">
        <v>0</v>
      </c>
      <c r="E31" s="788">
        <f>D31+C31</f>
        <v>0</v>
      </c>
      <c r="F31" s="856"/>
      <c r="G31" s="856"/>
      <c r="H31" s="856"/>
      <c r="I31" s="856"/>
      <c r="J31" s="856"/>
    </row>
    <row r="32" spans="1:10" ht="23.25" customHeight="1" x14ac:dyDescent="0.2">
      <c r="A32" s="784" t="s">
        <v>546</v>
      </c>
      <c r="B32" s="862" t="s">
        <v>1352</v>
      </c>
      <c r="C32" s="788">
        <v>13007</v>
      </c>
      <c r="D32" s="788"/>
      <c r="E32" s="788">
        <f t="shared" ref="E32:E33" si="7">D32+C32</f>
        <v>13007</v>
      </c>
      <c r="F32" s="856"/>
      <c r="G32" s="856"/>
      <c r="H32" s="856"/>
      <c r="I32" s="856"/>
      <c r="J32" s="856"/>
    </row>
    <row r="33" spans="1:10" ht="11.25" customHeight="1" x14ac:dyDescent="0.2">
      <c r="A33" s="784" t="s">
        <v>564</v>
      </c>
      <c r="B33" s="862" t="s">
        <v>1353</v>
      </c>
      <c r="C33" s="788">
        <v>39137</v>
      </c>
      <c r="D33" s="788"/>
      <c r="E33" s="788">
        <f t="shared" si="7"/>
        <v>39137</v>
      </c>
      <c r="F33" s="856"/>
      <c r="G33" s="856"/>
      <c r="H33" s="856"/>
      <c r="I33" s="856"/>
      <c r="J33" s="856"/>
    </row>
    <row r="34" spans="1:10" ht="11.25" customHeight="1" x14ac:dyDescent="0.2">
      <c r="A34" s="784" t="s">
        <v>565</v>
      </c>
      <c r="B34" s="801" t="s">
        <v>1274</v>
      </c>
      <c r="C34" s="799">
        <f>C35</f>
        <v>0</v>
      </c>
      <c r="D34" s="799">
        <f t="shared" ref="D34" si="8">D35</f>
        <v>2468</v>
      </c>
      <c r="E34" s="799">
        <f t="shared" ref="E34" si="9">E35</f>
        <v>2468</v>
      </c>
      <c r="F34" s="856"/>
      <c r="G34" s="856"/>
      <c r="H34" s="856"/>
      <c r="I34" s="856"/>
      <c r="J34" s="856"/>
    </row>
    <row r="35" spans="1:10" ht="11.25" customHeight="1" x14ac:dyDescent="0.2">
      <c r="A35" s="784" t="s">
        <v>566</v>
      </c>
      <c r="B35" s="865" t="s">
        <v>1100</v>
      </c>
      <c r="C35" s="788"/>
      <c r="D35" s="788">
        <v>2468</v>
      </c>
      <c r="E35" s="788">
        <f>SUM(C35:D35)</f>
        <v>2468</v>
      </c>
      <c r="F35" s="856"/>
      <c r="G35" s="856"/>
      <c r="H35" s="856"/>
      <c r="I35" s="856"/>
      <c r="J35" s="856"/>
    </row>
    <row r="36" spans="1:10" x14ac:dyDescent="0.2">
      <c r="A36" s="784" t="s">
        <v>567</v>
      </c>
      <c r="B36" s="859" t="s">
        <v>71</v>
      </c>
      <c r="C36" s="799">
        <f>SUM(C37:C37)</f>
        <v>4485</v>
      </c>
      <c r="D36" s="799">
        <f>SUM(D37:D37)</f>
        <v>0</v>
      </c>
      <c r="E36" s="799">
        <f>SUM(E37:E37)</f>
        <v>4485</v>
      </c>
      <c r="F36" s="856"/>
      <c r="G36" s="856"/>
      <c r="H36" s="856"/>
      <c r="I36" s="856"/>
      <c r="J36" s="856"/>
    </row>
    <row r="37" spans="1:10" ht="10.5" customHeight="1" thickBot="1" x14ac:dyDescent="0.25">
      <c r="A37" s="808" t="s">
        <v>568</v>
      </c>
      <c r="B37" s="812" t="s">
        <v>1355</v>
      </c>
      <c r="C37" s="869">
        <v>4485</v>
      </c>
      <c r="D37" s="869"/>
      <c r="E37" s="869">
        <f t="shared" ref="E37" si="10">C37+D37</f>
        <v>4485</v>
      </c>
      <c r="F37" s="871"/>
      <c r="G37" s="871"/>
      <c r="H37" s="871"/>
      <c r="I37" s="871"/>
      <c r="J37" s="871"/>
    </row>
    <row r="38" spans="1:10" ht="12" thickBot="1" x14ac:dyDescent="0.25">
      <c r="A38" s="697" t="s">
        <v>569</v>
      </c>
      <c r="B38" s="696" t="s">
        <v>158</v>
      </c>
      <c r="C38" s="689">
        <f>C25+C36+C21+C23+C34</f>
        <v>58450</v>
      </c>
      <c r="D38" s="689">
        <f>D25+D36+D21+D23+D34</f>
        <v>11253</v>
      </c>
      <c r="E38" s="689">
        <f>E25+E36+E21+E23+E34</f>
        <v>69703</v>
      </c>
      <c r="F38" s="886"/>
      <c r="G38" s="886"/>
      <c r="H38" s="886"/>
      <c r="I38" s="886"/>
      <c r="J38" s="887"/>
    </row>
    <row r="39" spans="1:10" x14ac:dyDescent="0.2">
      <c r="A39" s="872" t="s">
        <v>570</v>
      </c>
      <c r="B39" s="884"/>
      <c r="C39" s="885"/>
      <c r="D39" s="885"/>
      <c r="E39" s="885"/>
      <c r="F39" s="883"/>
      <c r="G39" s="883"/>
      <c r="H39" s="883"/>
      <c r="I39" s="883"/>
      <c r="J39" s="883"/>
    </row>
    <row r="40" spans="1:10" x14ac:dyDescent="0.2">
      <c r="A40" s="784" t="s">
        <v>571</v>
      </c>
      <c r="B40" s="789" t="s">
        <v>964</v>
      </c>
      <c r="C40" s="786"/>
      <c r="D40" s="786"/>
      <c r="E40" s="786"/>
      <c r="F40" s="856"/>
      <c r="G40" s="856"/>
      <c r="H40" s="856"/>
      <c r="I40" s="856"/>
      <c r="J40" s="856"/>
    </row>
    <row r="41" spans="1:10" ht="12" thickBot="1" x14ac:dyDescent="0.25">
      <c r="A41" s="808" t="s">
        <v>572</v>
      </c>
      <c r="B41" s="812" t="s">
        <v>1354</v>
      </c>
      <c r="C41" s="853"/>
      <c r="D41" s="870">
        <v>19610</v>
      </c>
      <c r="E41" s="870">
        <f>C41+D41</f>
        <v>19610</v>
      </c>
      <c r="F41" s="871"/>
      <c r="G41" s="871"/>
      <c r="H41" s="871"/>
      <c r="I41" s="871"/>
      <c r="J41" s="871"/>
    </row>
    <row r="42" spans="1:10" ht="12" thickBot="1" x14ac:dyDescent="0.25">
      <c r="A42" s="697" t="s">
        <v>624</v>
      </c>
      <c r="B42" s="696" t="s">
        <v>964</v>
      </c>
      <c r="C42" s="689">
        <f>SUM(C41:C41)</f>
        <v>0</v>
      </c>
      <c r="D42" s="689">
        <f>SUM(D41:D41)</f>
        <v>19610</v>
      </c>
      <c r="E42" s="689">
        <f>SUM(E41:E41)</f>
        <v>19610</v>
      </c>
      <c r="F42" s="886"/>
      <c r="G42" s="886"/>
      <c r="H42" s="886"/>
      <c r="I42" s="886"/>
      <c r="J42" s="887"/>
    </row>
    <row r="43" spans="1:10" ht="12" thickBot="1" x14ac:dyDescent="0.25">
      <c r="A43" s="888" t="s">
        <v>625</v>
      </c>
      <c r="B43" s="889"/>
      <c r="C43" s="890"/>
      <c r="D43" s="890"/>
      <c r="E43" s="890"/>
      <c r="F43" s="891"/>
      <c r="G43" s="891"/>
      <c r="H43" s="891"/>
      <c r="I43" s="891"/>
      <c r="J43" s="891"/>
    </row>
    <row r="44" spans="1:10" ht="12" thickBot="1" x14ac:dyDescent="0.25">
      <c r="A44" s="697" t="s">
        <v>626</v>
      </c>
      <c r="B44" s="696" t="s">
        <v>91</v>
      </c>
      <c r="C44" s="689">
        <f>C11+C16+IC17+C18+C25+C36+C42+C17+C23+C34+C21</f>
        <v>869588</v>
      </c>
      <c r="D44" s="689">
        <f>D11+D16+ID17+D18+D25+D36+D42+D17+D23+D34+D21</f>
        <v>161949</v>
      </c>
      <c r="E44" s="689">
        <f>E11+E16+IE17+E18+E25+E36+E42+E17+E23+E34+E21</f>
        <v>1031537</v>
      </c>
      <c r="F44" s="886"/>
      <c r="G44" s="886"/>
      <c r="H44" s="886"/>
      <c r="I44" s="886"/>
      <c r="J44" s="887"/>
    </row>
    <row r="45" spans="1:10" x14ac:dyDescent="0.2">
      <c r="A45" s="872" t="s">
        <v>627</v>
      </c>
      <c r="B45" s="884"/>
      <c r="C45" s="885"/>
      <c r="D45" s="885"/>
      <c r="E45" s="885"/>
      <c r="F45" s="883"/>
      <c r="G45" s="883"/>
      <c r="H45" s="883"/>
      <c r="I45" s="883"/>
      <c r="J45" s="883"/>
    </row>
    <row r="46" spans="1:10" x14ac:dyDescent="0.2">
      <c r="A46" s="784" t="s">
        <v>115</v>
      </c>
      <c r="B46" s="866" t="s">
        <v>327</v>
      </c>
      <c r="C46" s="786"/>
      <c r="D46" s="786"/>
      <c r="E46" s="786"/>
      <c r="F46" s="856"/>
      <c r="G46" s="856"/>
      <c r="H46" s="856"/>
      <c r="I46" s="856"/>
      <c r="J46" s="856"/>
    </row>
    <row r="47" spans="1:10" x14ac:dyDescent="0.2">
      <c r="A47" s="784" t="s">
        <v>652</v>
      </c>
      <c r="B47" s="789" t="s">
        <v>1078</v>
      </c>
      <c r="C47" s="788">
        <v>5647</v>
      </c>
      <c r="D47" s="788"/>
      <c r="E47" s="788">
        <f>SUM(C47:D47)</f>
        <v>5647</v>
      </c>
      <c r="F47" s="856"/>
      <c r="G47" s="856"/>
      <c r="H47" s="856"/>
      <c r="I47" s="856"/>
      <c r="J47" s="856"/>
    </row>
    <row r="48" spans="1:10" ht="12" thickBot="1" x14ac:dyDescent="0.25">
      <c r="A48" s="808" t="s">
        <v>653</v>
      </c>
      <c r="B48" s="809" t="s">
        <v>19</v>
      </c>
      <c r="C48" s="853">
        <f>SUM(C47)</f>
        <v>5647</v>
      </c>
      <c r="D48" s="853">
        <f t="shared" ref="D48:E48" si="11">SUM(D47)</f>
        <v>0</v>
      </c>
      <c r="E48" s="853">
        <f t="shared" si="11"/>
        <v>5647</v>
      </c>
      <c r="F48" s="871"/>
      <c r="G48" s="871"/>
      <c r="H48" s="871"/>
      <c r="I48" s="871"/>
      <c r="J48" s="871"/>
    </row>
    <row r="49" spans="1:10" ht="12" thickBot="1" x14ac:dyDescent="0.25">
      <c r="A49" s="697" t="s">
        <v>118</v>
      </c>
      <c r="B49" s="696" t="s">
        <v>666</v>
      </c>
      <c r="C49" s="689">
        <f>SUM(C48)</f>
        <v>5647</v>
      </c>
      <c r="D49" s="689">
        <f>SUM(D48)</f>
        <v>0</v>
      </c>
      <c r="E49" s="689">
        <f>SUM(C49:D49)</f>
        <v>5647</v>
      </c>
      <c r="F49" s="886"/>
      <c r="G49" s="886"/>
      <c r="H49" s="886"/>
      <c r="I49" s="886"/>
      <c r="J49" s="887"/>
    </row>
    <row r="50" spans="1:10" x14ac:dyDescent="0.2">
      <c r="A50" s="872" t="s">
        <v>119</v>
      </c>
      <c r="B50" s="884"/>
      <c r="C50" s="885"/>
      <c r="D50" s="885"/>
      <c r="E50" s="885"/>
      <c r="F50" s="883"/>
      <c r="G50" s="883"/>
      <c r="H50" s="883"/>
      <c r="I50" s="883"/>
      <c r="J50" s="883"/>
    </row>
    <row r="51" spans="1:10" x14ac:dyDescent="0.2">
      <c r="A51" s="784" t="s">
        <v>120</v>
      </c>
      <c r="B51" s="866" t="s">
        <v>667</v>
      </c>
      <c r="C51" s="786"/>
      <c r="D51" s="786"/>
      <c r="E51" s="786"/>
      <c r="F51" s="856"/>
      <c r="G51" s="856"/>
      <c r="H51" s="856"/>
      <c r="I51" s="856"/>
      <c r="J51" s="856"/>
    </row>
    <row r="52" spans="1:10" x14ac:dyDescent="0.2">
      <c r="A52" s="784" t="s">
        <v>123</v>
      </c>
      <c r="B52" s="789" t="s">
        <v>165</v>
      </c>
      <c r="C52" s="788"/>
      <c r="D52" s="788">
        <v>1447</v>
      </c>
      <c r="E52" s="788">
        <f>SUM(C52:D52)</f>
        <v>1447</v>
      </c>
      <c r="F52" s="856"/>
      <c r="G52" s="856"/>
      <c r="H52" s="856"/>
      <c r="I52" s="856"/>
      <c r="J52" s="856"/>
    </row>
    <row r="53" spans="1:10" x14ac:dyDescent="0.2">
      <c r="A53" s="784" t="s">
        <v>126</v>
      </c>
      <c r="B53" s="789" t="s">
        <v>166</v>
      </c>
      <c r="C53" s="788"/>
      <c r="D53" s="788"/>
      <c r="E53" s="788"/>
      <c r="F53" s="856"/>
      <c r="G53" s="856"/>
      <c r="H53" s="856"/>
      <c r="I53" s="856"/>
      <c r="J53" s="856"/>
    </row>
    <row r="54" spans="1:10" ht="12" thickBot="1" x14ac:dyDescent="0.25">
      <c r="A54" s="808" t="s">
        <v>127</v>
      </c>
      <c r="B54" s="809" t="s">
        <v>19</v>
      </c>
      <c r="C54" s="853">
        <f>SUM(C52:C53)</f>
        <v>0</v>
      </c>
      <c r="D54" s="853">
        <f>SUM(D52:D53)</f>
        <v>1447</v>
      </c>
      <c r="E54" s="853">
        <f>SUM(E52:E53)</f>
        <v>1447</v>
      </c>
      <c r="F54" s="871"/>
      <c r="G54" s="871"/>
      <c r="H54" s="871"/>
      <c r="I54" s="871"/>
      <c r="J54" s="871"/>
    </row>
    <row r="55" spans="1:10" ht="12" thickBot="1" x14ac:dyDescent="0.25">
      <c r="A55" s="697" t="s">
        <v>128</v>
      </c>
      <c r="B55" s="696" t="s">
        <v>167</v>
      </c>
      <c r="C55" s="689">
        <f>C54</f>
        <v>0</v>
      </c>
      <c r="D55" s="689">
        <f>D54</f>
        <v>1447</v>
      </c>
      <c r="E55" s="689">
        <f>E54</f>
        <v>1447</v>
      </c>
      <c r="F55" s="886"/>
      <c r="G55" s="886"/>
      <c r="H55" s="886"/>
      <c r="I55" s="886"/>
      <c r="J55" s="887"/>
    </row>
    <row r="56" spans="1:10" x14ac:dyDescent="0.2">
      <c r="A56" s="872" t="s">
        <v>129</v>
      </c>
      <c r="B56" s="884"/>
      <c r="C56" s="885"/>
      <c r="D56" s="885"/>
      <c r="E56" s="885"/>
      <c r="F56" s="883"/>
      <c r="G56" s="883"/>
      <c r="H56" s="883"/>
      <c r="I56" s="883"/>
      <c r="J56" s="883"/>
    </row>
    <row r="57" spans="1:10" x14ac:dyDescent="0.2">
      <c r="A57" s="784" t="s">
        <v>132</v>
      </c>
      <c r="B57" s="866" t="s">
        <v>1120</v>
      </c>
      <c r="C57" s="786"/>
      <c r="D57" s="786"/>
      <c r="E57" s="786"/>
      <c r="F57" s="856"/>
      <c r="G57" s="856"/>
      <c r="H57" s="856"/>
      <c r="I57" s="856"/>
      <c r="J57" s="856"/>
    </row>
    <row r="58" spans="1:10" x14ac:dyDescent="0.2">
      <c r="A58" s="784" t="s">
        <v>135</v>
      </c>
      <c r="B58" s="789" t="s">
        <v>165</v>
      </c>
      <c r="C58" s="788">
        <v>0</v>
      </c>
      <c r="D58" s="788">
        <v>0</v>
      </c>
      <c r="E58" s="793">
        <f>C58+D58</f>
        <v>0</v>
      </c>
      <c r="F58" s="867"/>
      <c r="G58" s="856"/>
      <c r="H58" s="856"/>
      <c r="I58" s="856"/>
      <c r="J58" s="856"/>
    </row>
    <row r="59" spans="1:10" x14ac:dyDescent="0.2">
      <c r="A59" s="784" t="s">
        <v>138</v>
      </c>
      <c r="B59" s="802" t="s">
        <v>19</v>
      </c>
      <c r="C59" s="786">
        <f>C58</f>
        <v>0</v>
      </c>
      <c r="D59" s="786">
        <f t="shared" ref="D59:E59" si="12">D58</f>
        <v>0</v>
      </c>
      <c r="E59" s="799">
        <f t="shared" si="12"/>
        <v>0</v>
      </c>
      <c r="F59" s="856"/>
      <c r="G59" s="856"/>
      <c r="H59" s="856"/>
      <c r="I59" s="856"/>
      <c r="J59" s="856"/>
    </row>
    <row r="60" spans="1:10" x14ac:dyDescent="0.2">
      <c r="A60" s="784" t="s">
        <v>139</v>
      </c>
      <c r="B60" s="789" t="s">
        <v>1121</v>
      </c>
      <c r="C60" s="786"/>
      <c r="D60" s="788">
        <v>401</v>
      </c>
      <c r="E60" s="788">
        <f>C60+D60</f>
        <v>401</v>
      </c>
      <c r="F60" s="856"/>
      <c r="G60" s="856"/>
      <c r="H60" s="856"/>
      <c r="I60" s="856"/>
      <c r="J60" s="856"/>
    </row>
    <row r="61" spans="1:10" ht="12" thickBot="1" x14ac:dyDescent="0.25">
      <c r="A61" s="808" t="s">
        <v>142</v>
      </c>
      <c r="B61" s="809" t="s">
        <v>964</v>
      </c>
      <c r="C61" s="853">
        <f>C60</f>
        <v>0</v>
      </c>
      <c r="D61" s="853">
        <f t="shared" ref="D61:E61" si="13">D60</f>
        <v>401</v>
      </c>
      <c r="E61" s="853">
        <f t="shared" si="13"/>
        <v>401</v>
      </c>
      <c r="F61" s="871"/>
      <c r="G61" s="871"/>
      <c r="H61" s="871"/>
      <c r="I61" s="871"/>
      <c r="J61" s="871"/>
    </row>
    <row r="62" spans="1:10" ht="12" thickBot="1" x14ac:dyDescent="0.25">
      <c r="A62" s="697" t="s">
        <v>143</v>
      </c>
      <c r="B62" s="696" t="s">
        <v>1122</v>
      </c>
      <c r="C62" s="689">
        <f>C59+C61</f>
        <v>0</v>
      </c>
      <c r="D62" s="689">
        <f t="shared" ref="D62:E62" si="14">D59+D61</f>
        <v>401</v>
      </c>
      <c r="E62" s="689">
        <f t="shared" si="14"/>
        <v>401</v>
      </c>
      <c r="F62" s="886"/>
      <c r="G62" s="886"/>
      <c r="H62" s="886"/>
      <c r="I62" s="886"/>
      <c r="J62" s="887"/>
    </row>
    <row r="63" spans="1:10" x14ac:dyDescent="0.2">
      <c r="A63" s="872" t="s">
        <v>144</v>
      </c>
      <c r="B63" s="884"/>
      <c r="C63" s="882"/>
      <c r="D63" s="882"/>
      <c r="E63" s="882"/>
      <c r="F63" s="883"/>
      <c r="G63" s="883"/>
      <c r="H63" s="883"/>
      <c r="I63" s="883"/>
      <c r="J63" s="883"/>
    </row>
    <row r="64" spans="1:10" x14ac:dyDescent="0.2">
      <c r="A64" s="784" t="s">
        <v>145</v>
      </c>
      <c r="B64" s="866" t="s">
        <v>93</v>
      </c>
      <c r="C64" s="793"/>
      <c r="D64" s="793"/>
      <c r="E64" s="793"/>
      <c r="F64" s="856"/>
      <c r="G64" s="856"/>
      <c r="H64" s="856"/>
      <c r="I64" s="856"/>
      <c r="J64" s="856"/>
    </row>
    <row r="65" spans="1:10" x14ac:dyDescent="0.2">
      <c r="A65" s="784" t="s">
        <v>146</v>
      </c>
      <c r="B65" s="802" t="s">
        <v>17</v>
      </c>
      <c r="C65" s="793"/>
      <c r="D65" s="793"/>
      <c r="E65" s="793"/>
      <c r="F65" s="856"/>
      <c r="G65" s="856"/>
      <c r="H65" s="856"/>
      <c r="I65" s="856"/>
      <c r="J65" s="856"/>
    </row>
    <row r="66" spans="1:10" x14ac:dyDescent="0.2">
      <c r="A66" s="784" t="s">
        <v>148</v>
      </c>
      <c r="B66" s="789" t="s">
        <v>92</v>
      </c>
      <c r="C66" s="793">
        <v>10396</v>
      </c>
      <c r="D66" s="793"/>
      <c r="E66" s="793">
        <f>SUM(C66:D66)</f>
        <v>10396</v>
      </c>
      <c r="F66" s="856"/>
      <c r="G66" s="856"/>
      <c r="H66" s="856"/>
      <c r="I66" s="856"/>
      <c r="J66" s="856"/>
    </row>
    <row r="67" spans="1:10" x14ac:dyDescent="0.2">
      <c r="A67" s="784" t="s">
        <v>151</v>
      </c>
      <c r="B67" s="789" t="s">
        <v>299</v>
      </c>
      <c r="C67" s="793">
        <v>10040</v>
      </c>
      <c r="D67" s="793"/>
      <c r="E67" s="793">
        <f>SUM(C67:D67)</f>
        <v>10040</v>
      </c>
      <c r="F67" s="856"/>
      <c r="G67" s="856"/>
      <c r="H67" s="856"/>
      <c r="I67" s="856"/>
      <c r="J67" s="856"/>
    </row>
    <row r="68" spans="1:10" x14ac:dyDescent="0.2">
      <c r="A68" s="784" t="s">
        <v>153</v>
      </c>
      <c r="B68" s="789" t="s">
        <v>300</v>
      </c>
      <c r="C68" s="793">
        <v>429</v>
      </c>
      <c r="D68" s="793"/>
      <c r="E68" s="793">
        <f>SUM(C68:D68)</f>
        <v>429</v>
      </c>
      <c r="F68" s="856"/>
      <c r="G68" s="856"/>
      <c r="H68" s="856"/>
      <c r="I68" s="856"/>
      <c r="J68" s="856"/>
    </row>
    <row r="69" spans="1:10" x14ac:dyDescent="0.2">
      <c r="A69" s="784" t="s">
        <v>154</v>
      </c>
      <c r="B69" s="789" t="s">
        <v>166</v>
      </c>
      <c r="C69" s="793"/>
      <c r="D69" s="793"/>
      <c r="E69" s="793"/>
      <c r="F69" s="856"/>
      <c r="G69" s="856"/>
      <c r="H69" s="856"/>
      <c r="I69" s="856"/>
      <c r="J69" s="856"/>
    </row>
    <row r="70" spans="1:10" x14ac:dyDescent="0.2">
      <c r="A70" s="784" t="s">
        <v>155</v>
      </c>
      <c r="B70" s="789" t="s">
        <v>165</v>
      </c>
      <c r="C70" s="793"/>
      <c r="D70" s="793">
        <v>1066</v>
      </c>
      <c r="E70" s="793">
        <f>SUM(C70:D70)</f>
        <v>1066</v>
      </c>
      <c r="F70" s="856"/>
      <c r="G70" s="856"/>
      <c r="H70" s="856"/>
      <c r="I70" s="856"/>
      <c r="J70" s="856"/>
    </row>
    <row r="71" spans="1:10" ht="12" thickBot="1" x14ac:dyDescent="0.25">
      <c r="A71" s="808" t="s">
        <v>1079</v>
      </c>
      <c r="B71" s="809" t="s">
        <v>19</v>
      </c>
      <c r="C71" s="811">
        <f>SUM(C66:C70)</f>
        <v>20865</v>
      </c>
      <c r="D71" s="811">
        <f>SUM(D66:D70)</f>
        <v>1066</v>
      </c>
      <c r="E71" s="811">
        <f>SUM(E66:E70)</f>
        <v>21931</v>
      </c>
      <c r="F71" s="871"/>
      <c r="G71" s="871"/>
      <c r="H71" s="871"/>
      <c r="I71" s="871"/>
      <c r="J71" s="871"/>
    </row>
    <row r="72" spans="1:10" ht="12" thickBot="1" x14ac:dyDescent="0.25">
      <c r="A72" s="697" t="s">
        <v>1080</v>
      </c>
      <c r="B72" s="892" t="s">
        <v>94</v>
      </c>
      <c r="C72" s="695">
        <f>C71</f>
        <v>20865</v>
      </c>
      <c r="D72" s="695">
        <f>D71</f>
        <v>1066</v>
      </c>
      <c r="E72" s="695">
        <f>E71</f>
        <v>21931</v>
      </c>
      <c r="F72" s="886"/>
      <c r="G72" s="886"/>
      <c r="H72" s="886"/>
      <c r="I72" s="886"/>
      <c r="J72" s="887"/>
    </row>
    <row r="73" spans="1:10" s="9" customFormat="1" x14ac:dyDescent="0.2">
      <c r="A73" s="872" t="s">
        <v>1275</v>
      </c>
      <c r="B73" s="884"/>
      <c r="C73" s="880"/>
      <c r="D73" s="880"/>
      <c r="E73" s="880"/>
      <c r="F73" s="875"/>
      <c r="G73" s="875"/>
      <c r="H73" s="875"/>
      <c r="I73" s="875"/>
      <c r="J73" s="875"/>
    </row>
    <row r="74" spans="1:10" s="9" customFormat="1" x14ac:dyDescent="0.2">
      <c r="A74" s="784" t="s">
        <v>1276</v>
      </c>
      <c r="B74" s="802" t="s">
        <v>18</v>
      </c>
      <c r="C74" s="799">
        <f>C38+C54+C71+C48+C59</f>
        <v>84962</v>
      </c>
      <c r="D74" s="799">
        <f>D38+D54+D71+D48+D59</f>
        <v>13766</v>
      </c>
      <c r="E74" s="799">
        <f>E38+E54+E71+E48+E59</f>
        <v>98728</v>
      </c>
      <c r="F74" s="858"/>
      <c r="G74" s="858"/>
      <c r="H74" s="858"/>
      <c r="I74" s="858"/>
      <c r="J74" s="858"/>
    </row>
    <row r="75" spans="1:10" x14ac:dyDescent="0.2">
      <c r="A75" s="784" t="s">
        <v>1277</v>
      </c>
      <c r="B75" s="802" t="s">
        <v>95</v>
      </c>
      <c r="C75" s="786">
        <f>C42+C61</f>
        <v>0</v>
      </c>
      <c r="D75" s="786">
        <f>D42+D61</f>
        <v>20011</v>
      </c>
      <c r="E75" s="786">
        <f>E42+E61</f>
        <v>20011</v>
      </c>
      <c r="F75" s="856"/>
      <c r="G75" s="856"/>
      <c r="H75" s="856"/>
      <c r="I75" s="856"/>
      <c r="J75" s="856"/>
    </row>
    <row r="76" spans="1:10" ht="12" thickBot="1" x14ac:dyDescent="0.25">
      <c r="A76" s="808" t="s">
        <v>1357</v>
      </c>
      <c r="B76" s="809"/>
      <c r="C76" s="870"/>
      <c r="D76" s="870"/>
      <c r="E76" s="870"/>
      <c r="F76" s="871"/>
      <c r="G76" s="871"/>
      <c r="H76" s="871"/>
      <c r="I76" s="871"/>
      <c r="J76" s="871"/>
    </row>
    <row r="77" spans="1:10" s="10" customFormat="1" ht="12" thickBot="1" x14ac:dyDescent="0.25">
      <c r="A77" s="697" t="s">
        <v>1358</v>
      </c>
      <c r="B77" s="696" t="s">
        <v>96</v>
      </c>
      <c r="C77" s="689">
        <f>C44+C72+C55+C49+C62</f>
        <v>896100</v>
      </c>
      <c r="D77" s="689">
        <f>D44+D72+D55+D49+D62</f>
        <v>164863</v>
      </c>
      <c r="E77" s="689">
        <f>E44+E72+E55+E49+E62</f>
        <v>1060963</v>
      </c>
      <c r="F77" s="893"/>
      <c r="G77" s="893"/>
      <c r="H77" s="893"/>
      <c r="I77" s="893"/>
      <c r="J77" s="816"/>
    </row>
    <row r="78" spans="1:10" s="10" customFormat="1" x14ac:dyDescent="0.2">
      <c r="A78" s="570"/>
      <c r="B78" s="118"/>
      <c r="C78" s="119"/>
      <c r="D78" s="405"/>
      <c r="E78" s="405"/>
      <c r="I78" s="210"/>
    </row>
    <row r="79" spans="1:10" x14ac:dyDescent="0.2">
      <c r="B79" s="118"/>
    </row>
    <row r="80" spans="1:10" x14ac:dyDescent="0.2">
      <c r="B80" s="118"/>
      <c r="G80" s="592"/>
    </row>
    <row r="81" spans="2:7" x14ac:dyDescent="0.2">
      <c r="B81" s="130"/>
      <c r="G81" s="592"/>
    </row>
    <row r="82" spans="2:7" x14ac:dyDescent="0.2">
      <c r="B82" s="130"/>
    </row>
    <row r="84" spans="2:7" x14ac:dyDescent="0.2">
      <c r="B84" s="130"/>
    </row>
    <row r="85" spans="2:7" x14ac:dyDescent="0.2">
      <c r="B85" s="130"/>
    </row>
    <row r="86" spans="2:7" x14ac:dyDescent="0.2">
      <c r="B86" s="130"/>
    </row>
    <row r="87" spans="2:7" x14ac:dyDescent="0.2">
      <c r="B87" s="130"/>
    </row>
    <row r="88" spans="2:7" x14ac:dyDescent="0.2">
      <c r="B88" s="130"/>
    </row>
    <row r="89" spans="2:7" x14ac:dyDescent="0.2">
      <c r="B89" s="118"/>
    </row>
    <row r="90" spans="2:7" x14ac:dyDescent="0.2">
      <c r="B90" s="130"/>
    </row>
    <row r="91" spans="2:7" x14ac:dyDescent="0.2">
      <c r="B91" s="130"/>
    </row>
    <row r="92" spans="2:7" x14ac:dyDescent="0.2">
      <c r="B92" s="130"/>
    </row>
    <row r="93" spans="2:7" x14ac:dyDescent="0.2">
      <c r="B93" s="130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scale="97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34" customWidth="1"/>
    <col min="2" max="2" width="9.85546875" style="134" hidden="1" customWidth="1"/>
    <col min="3" max="3" width="11.7109375" style="134" hidden="1" customWidth="1"/>
    <col min="4" max="4" width="9.85546875" style="134" hidden="1" customWidth="1"/>
    <col min="5" max="5" width="15.85546875" style="13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441" t="s">
        <v>293</v>
      </c>
      <c r="B1" s="1441"/>
      <c r="C1" s="1441"/>
      <c r="D1" s="1441"/>
      <c r="E1" s="1441"/>
      <c r="F1" s="1441"/>
      <c r="G1" s="1441"/>
      <c r="H1" s="1441"/>
      <c r="I1" s="1441"/>
    </row>
    <row r="2" spans="1:256" x14ac:dyDescent="0.2">
      <c r="F2" s="1470"/>
      <c r="G2" s="1470"/>
      <c r="H2" s="1470"/>
      <c r="I2" s="1470"/>
    </row>
    <row r="4" spans="1:256" ht="30" customHeight="1" x14ac:dyDescent="0.2">
      <c r="A4" s="1442" t="s">
        <v>77</v>
      </c>
      <c r="B4" s="1442"/>
      <c r="C4" s="1442"/>
      <c r="D4" s="1442"/>
      <c r="E4" s="1442"/>
      <c r="F4" s="1443"/>
      <c r="G4" s="1443"/>
      <c r="H4" s="1443"/>
      <c r="I4" s="1443"/>
    </row>
    <row r="5" spans="1:256" ht="33" customHeight="1" x14ac:dyDescent="0.2">
      <c r="A5" s="1442" t="s">
        <v>1032</v>
      </c>
      <c r="B5" s="1442"/>
      <c r="C5" s="1442"/>
      <c r="D5" s="1442"/>
      <c r="E5" s="1442"/>
      <c r="F5" s="1443"/>
      <c r="G5" s="1443"/>
      <c r="H5" s="1443"/>
      <c r="I5" s="1443"/>
    </row>
    <row r="7" spans="1:256" ht="13.5" thickBot="1" x14ac:dyDescent="0.25">
      <c r="E7" s="390" t="s">
        <v>20</v>
      </c>
      <c r="F7" s="609"/>
    </row>
    <row r="8" spans="1:256" ht="30.75" customHeight="1" thickBot="1" x14ac:dyDescent="0.25">
      <c r="A8" s="1444" t="s">
        <v>78</v>
      </c>
      <c r="B8" s="1446" t="s">
        <v>106</v>
      </c>
      <c r="C8" s="1447"/>
      <c r="D8" s="1447"/>
      <c r="E8" s="1447"/>
      <c r="F8" s="1471" t="s">
        <v>1001</v>
      </c>
      <c r="G8" s="1472"/>
      <c r="H8" s="1472"/>
      <c r="I8" s="1473"/>
    </row>
    <row r="9" spans="1:256" ht="36.75" thickBot="1" x14ac:dyDescent="0.25">
      <c r="A9" s="1445"/>
      <c r="B9" s="205" t="s">
        <v>79</v>
      </c>
      <c r="C9" s="135" t="s">
        <v>80</v>
      </c>
      <c r="D9" s="135" t="s">
        <v>679</v>
      </c>
      <c r="E9" s="206" t="s">
        <v>81</v>
      </c>
      <c r="F9" s="205" t="s">
        <v>79</v>
      </c>
      <c r="G9" s="135" t="s">
        <v>80</v>
      </c>
      <c r="H9" s="135" t="s">
        <v>679</v>
      </c>
      <c r="I9" s="206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402" t="s">
        <v>82</v>
      </c>
      <c r="B10" s="403"/>
      <c r="C10" s="403"/>
      <c r="D10" s="403"/>
      <c r="E10" s="403"/>
      <c r="F10" s="404"/>
      <c r="G10" s="404"/>
      <c r="H10" s="404"/>
      <c r="I10" s="404"/>
      <c r="J10" s="425"/>
    </row>
    <row r="11" spans="1:256" ht="12.75" x14ac:dyDescent="0.2">
      <c r="A11" s="397" t="s">
        <v>817</v>
      </c>
      <c r="B11" s="489"/>
      <c r="C11" s="489"/>
      <c r="D11" s="489"/>
      <c r="E11" s="489"/>
      <c r="F11" s="546"/>
      <c r="G11" s="546"/>
      <c r="H11" s="546"/>
      <c r="I11" s="546"/>
      <c r="J11" s="425"/>
    </row>
    <row r="12" spans="1:256" ht="36" x14ac:dyDescent="0.2">
      <c r="A12" s="486" t="s">
        <v>818</v>
      </c>
      <c r="B12" s="489">
        <v>4865</v>
      </c>
      <c r="C12" s="547">
        <v>18.690000000000001</v>
      </c>
      <c r="D12" s="489">
        <v>4580000</v>
      </c>
      <c r="E12" s="489">
        <f>C12*D12</f>
        <v>85600200</v>
      </c>
      <c r="F12" s="586" t="s">
        <v>1002</v>
      </c>
      <c r="G12" s="392">
        <v>18.32</v>
      </c>
      <c r="H12" s="392">
        <v>4580000</v>
      </c>
      <c r="I12" s="393">
        <f>G12*H12</f>
        <v>83905600</v>
      </c>
      <c r="J12" s="425"/>
    </row>
    <row r="13" spans="1:256" ht="12.75" x14ac:dyDescent="0.2">
      <c r="A13" s="397" t="s">
        <v>819</v>
      </c>
      <c r="B13" s="489"/>
      <c r="C13" s="489"/>
      <c r="D13" s="489"/>
      <c r="E13" s="489"/>
      <c r="F13" s="446"/>
      <c r="G13" s="494"/>
      <c r="H13" s="494"/>
      <c r="I13" s="446"/>
      <c r="J13" s="425"/>
    </row>
    <row r="14" spans="1:256" ht="12.75" x14ac:dyDescent="0.2">
      <c r="A14" s="486" t="s">
        <v>820</v>
      </c>
      <c r="B14" s="489"/>
      <c r="C14" s="498"/>
      <c r="D14" s="489" t="s">
        <v>294</v>
      </c>
      <c r="E14" s="489">
        <v>8328800</v>
      </c>
      <c r="F14" s="446"/>
      <c r="G14" s="494"/>
      <c r="H14" s="392" t="s">
        <v>294</v>
      </c>
      <c r="I14" s="393">
        <v>8329050</v>
      </c>
      <c r="J14" s="425"/>
    </row>
    <row r="15" spans="1:256" ht="12.75" x14ac:dyDescent="0.2">
      <c r="A15" s="486" t="s">
        <v>821</v>
      </c>
      <c r="B15" s="394"/>
      <c r="C15" s="395"/>
      <c r="D15" s="394"/>
      <c r="E15" s="394"/>
      <c r="F15" s="393"/>
      <c r="G15" s="392"/>
      <c r="H15" s="392"/>
      <c r="I15" s="393">
        <v>-8329050</v>
      </c>
      <c r="J15" s="425"/>
    </row>
    <row r="16" spans="1:256" ht="24" x14ac:dyDescent="0.2">
      <c r="A16" s="486" t="s">
        <v>822</v>
      </c>
      <c r="B16" s="394"/>
      <c r="C16" s="395"/>
      <c r="D16" s="394"/>
      <c r="E16" s="394"/>
      <c r="F16" s="393"/>
      <c r="G16" s="392"/>
      <c r="H16" s="392"/>
      <c r="I16" s="393">
        <f>I14+I15</f>
        <v>0</v>
      </c>
      <c r="J16" s="425"/>
    </row>
    <row r="17" spans="1:10" ht="12.75" x14ac:dyDescent="0.2">
      <c r="A17" s="397" t="s">
        <v>823</v>
      </c>
      <c r="B17" s="489"/>
      <c r="C17" s="489"/>
      <c r="D17" s="550" t="s">
        <v>295</v>
      </c>
      <c r="E17" s="489">
        <v>18272000</v>
      </c>
      <c r="F17" s="446"/>
      <c r="G17" s="494"/>
      <c r="H17" s="392" t="s">
        <v>296</v>
      </c>
      <c r="I17" s="393">
        <v>18304000</v>
      </c>
      <c r="J17" s="425"/>
    </row>
    <row r="18" spans="1:10" ht="12.75" x14ac:dyDescent="0.2">
      <c r="A18" s="397" t="s">
        <v>821</v>
      </c>
      <c r="B18" s="394"/>
      <c r="C18" s="394"/>
      <c r="D18" s="488"/>
      <c r="E18" s="394"/>
      <c r="F18" s="393"/>
      <c r="G18" s="392"/>
      <c r="H18" s="392"/>
      <c r="I18" s="393">
        <v>-18304000</v>
      </c>
      <c r="J18" s="425"/>
    </row>
    <row r="19" spans="1:10" ht="12.75" x14ac:dyDescent="0.2">
      <c r="A19" s="397" t="s">
        <v>824</v>
      </c>
      <c r="B19" s="394"/>
      <c r="C19" s="394"/>
      <c r="D19" s="488"/>
      <c r="E19" s="394"/>
      <c r="F19" s="393"/>
      <c r="G19" s="392"/>
      <c r="H19" s="392"/>
      <c r="I19" s="393">
        <f>I17+I18</f>
        <v>0</v>
      </c>
      <c r="J19" s="425"/>
    </row>
    <row r="20" spans="1:10" ht="12.75" x14ac:dyDescent="0.2">
      <c r="A20" s="397" t="s">
        <v>825</v>
      </c>
      <c r="B20" s="489"/>
      <c r="C20" s="489" t="s">
        <v>826</v>
      </c>
      <c r="D20" s="490" t="s">
        <v>680</v>
      </c>
      <c r="E20" s="489">
        <v>1355022</v>
      </c>
      <c r="F20" s="446"/>
      <c r="G20" s="489"/>
      <c r="H20" s="491" t="s">
        <v>680</v>
      </c>
      <c r="I20" s="393">
        <v>1355022</v>
      </c>
      <c r="J20" s="425"/>
    </row>
    <row r="21" spans="1:10" ht="12.75" x14ac:dyDescent="0.2">
      <c r="A21" s="397" t="s">
        <v>827</v>
      </c>
      <c r="B21" s="394"/>
      <c r="C21" s="394"/>
      <c r="D21" s="491"/>
      <c r="E21" s="394"/>
      <c r="F21" s="393"/>
      <c r="G21" s="394"/>
      <c r="H21" s="491"/>
      <c r="I21" s="393">
        <v>-1355022</v>
      </c>
      <c r="J21" s="425"/>
    </row>
    <row r="22" spans="1:10" ht="12.75" x14ac:dyDescent="0.2">
      <c r="A22" s="397" t="s">
        <v>828</v>
      </c>
      <c r="B22" s="394"/>
      <c r="C22" s="394"/>
      <c r="D22" s="491"/>
      <c r="E22" s="394"/>
      <c r="F22" s="393"/>
      <c r="G22" s="394"/>
      <c r="H22" s="491"/>
      <c r="I22" s="393">
        <f>I20+I21</f>
        <v>0</v>
      </c>
      <c r="J22" s="425"/>
    </row>
    <row r="23" spans="1:10" ht="12.75" x14ac:dyDescent="0.2">
      <c r="A23" s="397" t="s">
        <v>829</v>
      </c>
      <c r="B23" s="489"/>
      <c r="C23" s="498"/>
      <c r="D23" s="550" t="s">
        <v>681</v>
      </c>
      <c r="E23" s="489">
        <v>6369620</v>
      </c>
      <c r="F23" s="446"/>
      <c r="G23" s="494"/>
      <c r="H23" s="488" t="s">
        <v>681</v>
      </c>
      <c r="I23" s="393">
        <v>6369620</v>
      </c>
      <c r="J23" s="425"/>
    </row>
    <row r="24" spans="1:10" ht="12.75" x14ac:dyDescent="0.2">
      <c r="A24" s="397" t="s">
        <v>827</v>
      </c>
      <c r="B24" s="394"/>
      <c r="C24" s="395"/>
      <c r="D24" s="488"/>
      <c r="E24" s="394"/>
      <c r="F24" s="393"/>
      <c r="G24" s="392"/>
      <c r="H24" s="488"/>
      <c r="I24" s="393">
        <v>-6369620</v>
      </c>
      <c r="J24" s="425"/>
    </row>
    <row r="25" spans="1:10" ht="12.75" x14ac:dyDescent="0.2">
      <c r="A25" s="397" t="s">
        <v>830</v>
      </c>
      <c r="B25" s="394"/>
      <c r="C25" s="395"/>
      <c r="D25" s="488"/>
      <c r="E25" s="394"/>
      <c r="F25" s="393"/>
      <c r="G25" s="392"/>
      <c r="H25" s="488"/>
      <c r="I25" s="393">
        <f>I23+I24</f>
        <v>0</v>
      </c>
      <c r="J25" s="425"/>
    </row>
    <row r="26" spans="1:10" ht="12.75" x14ac:dyDescent="0.2">
      <c r="A26" s="397" t="s">
        <v>831</v>
      </c>
      <c r="B26" s="489">
        <v>4865</v>
      </c>
      <c r="C26" s="489"/>
      <c r="D26" s="489">
        <v>2700</v>
      </c>
      <c r="E26" s="489">
        <f>B26*D26</f>
        <v>13135500</v>
      </c>
      <c r="F26" s="393">
        <v>4705</v>
      </c>
      <c r="G26" s="494"/>
      <c r="H26" s="394">
        <v>2700</v>
      </c>
      <c r="I26" s="393">
        <f>F26*H26</f>
        <v>12703500</v>
      </c>
      <c r="J26" s="425"/>
    </row>
    <row r="27" spans="1:10" ht="12.75" x14ac:dyDescent="0.2">
      <c r="A27" s="397" t="s">
        <v>832</v>
      </c>
      <c r="B27" s="394"/>
      <c r="C27" s="394"/>
      <c r="D27" s="394"/>
      <c r="E27" s="394">
        <v>-13135500</v>
      </c>
      <c r="F27" s="393"/>
      <c r="G27" s="392"/>
      <c r="H27" s="392"/>
      <c r="I27" s="393">
        <v>-12703500</v>
      </c>
      <c r="J27" s="425"/>
    </row>
    <row r="28" spans="1:10" ht="12.75" x14ac:dyDescent="0.2">
      <c r="A28" s="397" t="s">
        <v>833</v>
      </c>
      <c r="B28" s="394"/>
      <c r="C28" s="394"/>
      <c r="D28" s="394"/>
      <c r="E28" s="394">
        <f>E26+E27</f>
        <v>0</v>
      </c>
      <c r="F28" s="393"/>
      <c r="G28" s="392"/>
      <c r="H28" s="392"/>
      <c r="I28" s="393">
        <f>I26+I27</f>
        <v>0</v>
      </c>
      <c r="J28" s="425"/>
    </row>
    <row r="29" spans="1:10" ht="12.75" x14ac:dyDescent="0.2">
      <c r="A29" s="397" t="s">
        <v>834</v>
      </c>
      <c r="B29" s="489">
        <v>10</v>
      </c>
      <c r="C29" s="489"/>
      <c r="D29" s="489" t="s">
        <v>297</v>
      </c>
      <c r="E29" s="492">
        <v>25500</v>
      </c>
      <c r="F29" s="610">
        <v>21</v>
      </c>
      <c r="G29" s="494"/>
      <c r="H29" s="394" t="s">
        <v>297</v>
      </c>
      <c r="I29" s="610">
        <v>53550</v>
      </c>
      <c r="J29" s="425"/>
    </row>
    <row r="30" spans="1:10" ht="12.75" x14ac:dyDescent="0.2">
      <c r="A30" s="397" t="s">
        <v>835</v>
      </c>
      <c r="B30" s="394"/>
      <c r="C30" s="394"/>
      <c r="D30" s="394"/>
      <c r="E30" s="394">
        <v>-25500</v>
      </c>
      <c r="F30" s="393"/>
      <c r="G30" s="392"/>
      <c r="H30" s="392"/>
      <c r="I30" s="610">
        <v>-53550</v>
      </c>
      <c r="J30" s="425"/>
    </row>
    <row r="31" spans="1:10" ht="12.75" x14ac:dyDescent="0.2">
      <c r="A31" s="397" t="s">
        <v>836</v>
      </c>
      <c r="B31" s="489"/>
      <c r="C31" s="489"/>
      <c r="D31" s="489"/>
      <c r="E31" s="492">
        <v>0</v>
      </c>
      <c r="F31" s="446"/>
      <c r="G31" s="494"/>
      <c r="H31" s="494"/>
      <c r="I31" s="610">
        <f>I29+I30</f>
        <v>0</v>
      </c>
      <c r="J31" s="425"/>
    </row>
    <row r="32" spans="1:10" ht="12.75" x14ac:dyDescent="0.2">
      <c r="A32" s="549" t="s">
        <v>939</v>
      </c>
      <c r="B32" s="489"/>
      <c r="C32" s="489">
        <v>487729000</v>
      </c>
      <c r="D32" s="498">
        <v>1.55</v>
      </c>
      <c r="E32" s="489">
        <f>C32*D32</f>
        <v>755979950</v>
      </c>
      <c r="F32" s="446"/>
      <c r="G32" s="393">
        <v>540752027</v>
      </c>
      <c r="H32" s="395">
        <v>1</v>
      </c>
      <c r="I32" s="393">
        <f>G32*H32</f>
        <v>540752027</v>
      </c>
      <c r="J32" s="425"/>
    </row>
    <row r="33" spans="1:18" ht="12.75" x14ac:dyDescent="0.2">
      <c r="A33" s="397" t="s">
        <v>832</v>
      </c>
      <c r="B33" s="394"/>
      <c r="C33" s="394"/>
      <c r="D33" s="398"/>
      <c r="E33" s="394">
        <v>-98054262</v>
      </c>
      <c r="F33" s="393"/>
      <c r="G33" s="392"/>
      <c r="H33" s="392"/>
      <c r="I33" s="610">
        <v>-76318159</v>
      </c>
      <c r="J33" s="425"/>
    </row>
    <row r="34" spans="1:18" ht="12.75" x14ac:dyDescent="0.2">
      <c r="A34" s="397" t="s">
        <v>838</v>
      </c>
      <c r="B34" s="489"/>
      <c r="C34" s="489"/>
      <c r="D34" s="503"/>
      <c r="E34" s="489">
        <f>E32+E33</f>
        <v>657925688</v>
      </c>
      <c r="F34" s="446"/>
      <c r="G34" s="494"/>
      <c r="H34" s="494"/>
      <c r="I34" s="610">
        <f>I32+I33</f>
        <v>464433868</v>
      </c>
      <c r="J34" s="425"/>
    </row>
    <row r="35" spans="1:18" ht="12.75" x14ac:dyDescent="0.2">
      <c r="A35" s="493" t="s">
        <v>1003</v>
      </c>
      <c r="B35" s="489"/>
      <c r="C35" s="489"/>
      <c r="D35" s="489"/>
      <c r="E35" s="489">
        <v>0</v>
      </c>
      <c r="F35" s="446"/>
      <c r="G35" s="494"/>
      <c r="H35" s="494"/>
      <c r="I35" s="393">
        <v>0</v>
      </c>
      <c r="J35" s="425"/>
      <c r="K35" s="611">
        <f>I12+I16+I19+I25+I28+I31+I34+I35</f>
        <v>548339468</v>
      </c>
      <c r="L35" s="6" t="s">
        <v>910</v>
      </c>
    </row>
    <row r="36" spans="1:18" ht="24" x14ac:dyDescent="0.2">
      <c r="A36" s="486" t="s">
        <v>1004</v>
      </c>
      <c r="B36" s="489"/>
      <c r="C36" s="489"/>
      <c r="D36" s="489"/>
      <c r="E36" s="489"/>
      <c r="F36" s="446"/>
      <c r="G36" s="494"/>
      <c r="H36" s="494"/>
      <c r="I36" s="393">
        <v>0</v>
      </c>
      <c r="J36" s="425"/>
      <c r="K36" s="495"/>
    </row>
    <row r="37" spans="1:18" ht="12.75" x14ac:dyDescent="0.2">
      <c r="A37" s="493"/>
      <c r="B37" s="489"/>
      <c r="C37" s="489"/>
      <c r="D37" s="489"/>
      <c r="E37" s="489"/>
      <c r="F37" s="446"/>
      <c r="G37" s="494"/>
      <c r="H37" s="494"/>
      <c r="I37" s="446"/>
      <c r="J37" s="425"/>
      <c r="K37" s="495"/>
    </row>
    <row r="38" spans="1:18" ht="12.75" x14ac:dyDescent="0.2">
      <c r="A38" s="496" t="s">
        <v>83</v>
      </c>
      <c r="B38" s="489"/>
      <c r="C38" s="489"/>
      <c r="D38" s="489"/>
      <c r="E38" s="489"/>
      <c r="F38" s="446"/>
      <c r="G38" s="494"/>
      <c r="H38" s="494"/>
      <c r="I38" s="446"/>
      <c r="J38" s="425"/>
    </row>
    <row r="39" spans="1:18" ht="24" x14ac:dyDescent="0.2">
      <c r="A39" s="486" t="s">
        <v>840</v>
      </c>
      <c r="B39" s="489"/>
      <c r="C39" s="489"/>
      <c r="D39" s="489"/>
      <c r="E39" s="489"/>
      <c r="F39" s="446"/>
      <c r="G39" s="494"/>
      <c r="H39" s="494"/>
      <c r="I39" s="446"/>
      <c r="J39" s="425"/>
    </row>
    <row r="40" spans="1:18" ht="12.75" x14ac:dyDescent="0.2">
      <c r="A40" s="486" t="s">
        <v>841</v>
      </c>
      <c r="B40" s="489"/>
      <c r="C40" s="498">
        <v>13.1</v>
      </c>
      <c r="D40" s="489">
        <v>4152000</v>
      </c>
      <c r="E40" s="489">
        <f>C40*D40*8/12</f>
        <v>36260800</v>
      </c>
      <c r="F40" s="612" t="s">
        <v>1033</v>
      </c>
      <c r="G40" s="613">
        <v>12.5</v>
      </c>
      <c r="H40" s="605">
        <v>4419000</v>
      </c>
      <c r="I40" s="610">
        <f>G40*8/12*4419000</f>
        <v>36825000</v>
      </c>
      <c r="J40" s="425"/>
    </row>
    <row r="41" spans="1:18" ht="12.75" x14ac:dyDescent="0.2">
      <c r="A41" s="486" t="s">
        <v>842</v>
      </c>
      <c r="B41" s="489"/>
      <c r="C41" s="498">
        <v>13.1</v>
      </c>
      <c r="D41" s="499">
        <v>4152000</v>
      </c>
      <c r="E41" s="489">
        <f>C41*D41*4/12</f>
        <v>18130400</v>
      </c>
      <c r="F41" s="612" t="s">
        <v>1033</v>
      </c>
      <c r="G41" s="614">
        <v>12.5</v>
      </c>
      <c r="H41" s="605">
        <v>4419000</v>
      </c>
      <c r="I41" s="610">
        <f>G41*4/12*H41</f>
        <v>18412500</v>
      </c>
      <c r="J41" s="425"/>
    </row>
    <row r="42" spans="1:18" ht="24" x14ac:dyDescent="0.2">
      <c r="A42" s="486" t="s">
        <v>843</v>
      </c>
      <c r="B42" s="489"/>
      <c r="C42" s="489">
        <v>10</v>
      </c>
      <c r="D42" s="489">
        <v>1800000</v>
      </c>
      <c r="E42" s="492">
        <f>C42*D42*8/12</f>
        <v>12000000</v>
      </c>
      <c r="F42" s="548"/>
      <c r="G42" s="497">
        <v>9</v>
      </c>
      <c r="H42" s="605">
        <v>2205000</v>
      </c>
      <c r="I42" s="393">
        <f>G42*H42*8/12</f>
        <v>13230000</v>
      </c>
      <c r="J42" s="425"/>
    </row>
    <row r="43" spans="1:18" ht="24" x14ac:dyDescent="0.2">
      <c r="A43" s="486" t="s">
        <v>940</v>
      </c>
      <c r="B43" s="489"/>
      <c r="C43" s="489"/>
      <c r="D43" s="489"/>
      <c r="E43" s="492"/>
      <c r="F43" s="446"/>
      <c r="G43" s="497">
        <v>0</v>
      </c>
      <c r="H43" s="605">
        <v>4419000</v>
      </c>
      <c r="I43" s="393">
        <f>G43*H43*8/12</f>
        <v>0</v>
      </c>
      <c r="J43" s="425"/>
    </row>
    <row r="44" spans="1:18" ht="24" x14ac:dyDescent="0.2">
      <c r="A44" s="486" t="s">
        <v>845</v>
      </c>
      <c r="B44" s="489"/>
      <c r="C44" s="489">
        <v>10</v>
      </c>
      <c r="D44" s="489">
        <v>1800000</v>
      </c>
      <c r="E44" s="489">
        <f>C44*D44*4/12</f>
        <v>6000000</v>
      </c>
      <c r="F44" s="446"/>
      <c r="G44" s="497">
        <v>9</v>
      </c>
      <c r="H44" s="605">
        <v>2205000</v>
      </c>
      <c r="I44" s="393">
        <f>G44*H44*4/12</f>
        <v>6615000</v>
      </c>
      <c r="J44" s="426"/>
    </row>
    <row r="45" spans="1:18" ht="39" x14ac:dyDescent="0.2">
      <c r="A45" s="486" t="s">
        <v>941</v>
      </c>
      <c r="B45" s="489"/>
      <c r="C45" s="489"/>
      <c r="D45" s="489"/>
      <c r="E45" s="489"/>
      <c r="F45" s="446"/>
      <c r="G45" s="497">
        <v>0</v>
      </c>
      <c r="H45" s="605">
        <v>4419000</v>
      </c>
      <c r="I45" s="393">
        <f>G45*H45*4/12</f>
        <v>0</v>
      </c>
      <c r="J45" s="426"/>
      <c r="K45" s="593" t="s">
        <v>911</v>
      </c>
      <c r="L45" s="495">
        <f>I12+I14+I17+I20+I23+I26+I29+I32</f>
        <v>671772369</v>
      </c>
      <c r="N45" s="594" t="s">
        <v>1034</v>
      </c>
      <c r="O45" s="495">
        <v>123432901</v>
      </c>
      <c r="P45" s="495">
        <f>I15+I18+I21+I24+I27+I30</f>
        <v>-47114742</v>
      </c>
      <c r="Q45" s="495">
        <f>O45+P45</f>
        <v>76318159</v>
      </c>
      <c r="R45" s="594" t="s">
        <v>912</v>
      </c>
    </row>
    <row r="46" spans="1:18" ht="12.75" x14ac:dyDescent="0.2">
      <c r="A46" s="397" t="s">
        <v>848</v>
      </c>
      <c r="B46" s="489"/>
      <c r="C46" s="489"/>
      <c r="D46" s="489"/>
      <c r="E46" s="489"/>
      <c r="F46" s="446"/>
      <c r="G46" s="494"/>
      <c r="H46" s="494"/>
      <c r="I46" s="446"/>
      <c r="J46" s="425"/>
    </row>
    <row r="47" spans="1:18" ht="24" x14ac:dyDescent="0.2">
      <c r="A47" s="486" t="s">
        <v>942</v>
      </c>
      <c r="B47" s="489"/>
      <c r="C47" s="489">
        <v>142</v>
      </c>
      <c r="D47" s="489">
        <v>70000</v>
      </c>
      <c r="E47" s="489">
        <f>C47*D47*8/12</f>
        <v>6626666.666666667</v>
      </c>
      <c r="F47" s="586"/>
      <c r="G47" s="610">
        <v>138</v>
      </c>
      <c r="H47" s="394">
        <v>81700</v>
      </c>
      <c r="I47" s="610">
        <f>G47*H47*8/12</f>
        <v>7516400</v>
      </c>
      <c r="J47" s="425"/>
    </row>
    <row r="48" spans="1:18" ht="24" x14ac:dyDescent="0.2">
      <c r="A48" s="486" t="s">
        <v>943</v>
      </c>
      <c r="B48" s="489"/>
      <c r="C48" s="489"/>
      <c r="D48" s="489"/>
      <c r="E48" s="489"/>
      <c r="F48" s="586"/>
      <c r="G48" s="393">
        <v>0</v>
      </c>
      <c r="H48" s="394">
        <v>80000</v>
      </c>
      <c r="I48" s="393">
        <v>0</v>
      </c>
      <c r="J48" s="425"/>
    </row>
    <row r="49" spans="1:12" ht="24" x14ac:dyDescent="0.2">
      <c r="A49" s="486" t="s">
        <v>897</v>
      </c>
      <c r="B49" s="489"/>
      <c r="C49" s="489">
        <v>142</v>
      </c>
      <c r="D49" s="489">
        <v>70000</v>
      </c>
      <c r="E49" s="489">
        <f>C49*D49*4/12</f>
        <v>3313333.3333333335</v>
      </c>
      <c r="F49" s="548"/>
      <c r="G49" s="393">
        <v>138</v>
      </c>
      <c r="H49" s="394">
        <v>81700</v>
      </c>
      <c r="I49" s="610">
        <f>G49*H49*4/12</f>
        <v>3758200</v>
      </c>
      <c r="J49" s="425"/>
    </row>
    <row r="50" spans="1:12" ht="24" x14ac:dyDescent="0.2">
      <c r="A50" s="486" t="s">
        <v>944</v>
      </c>
      <c r="B50" s="489"/>
      <c r="C50" s="489"/>
      <c r="D50" s="489"/>
      <c r="E50" s="489"/>
      <c r="F50" s="548"/>
      <c r="G50" s="393">
        <v>0</v>
      </c>
      <c r="H50" s="394">
        <v>80000</v>
      </c>
      <c r="I50" s="393">
        <v>0</v>
      </c>
      <c r="J50" s="425"/>
    </row>
    <row r="51" spans="1:12" ht="12.75" x14ac:dyDescent="0.2">
      <c r="A51" s="397" t="s">
        <v>898</v>
      </c>
      <c r="B51" s="489"/>
      <c r="C51" s="489"/>
      <c r="D51" s="489"/>
      <c r="E51" s="489"/>
      <c r="F51" s="446"/>
      <c r="G51" s="494"/>
      <c r="H51" s="494"/>
      <c r="I51" s="446"/>
      <c r="J51" s="425"/>
    </row>
    <row r="52" spans="1:12" ht="48" x14ac:dyDescent="0.2">
      <c r="A52" s="486" t="s">
        <v>1005</v>
      </c>
      <c r="B52" s="489"/>
      <c r="C52" s="489">
        <v>5</v>
      </c>
      <c r="D52" s="552" t="s">
        <v>298</v>
      </c>
      <c r="E52" s="489">
        <v>1760000</v>
      </c>
      <c r="F52" s="446"/>
      <c r="G52" s="615">
        <v>4</v>
      </c>
      <c r="H52" s="393">
        <v>401000</v>
      </c>
      <c r="I52" s="610">
        <f>G52*H52</f>
        <v>1604000</v>
      </c>
      <c r="J52" s="425"/>
    </row>
    <row r="53" spans="1:12" ht="48" x14ac:dyDescent="0.2">
      <c r="A53" s="486" t="s">
        <v>1006</v>
      </c>
      <c r="B53" s="489"/>
      <c r="C53" s="489"/>
      <c r="D53" s="489"/>
      <c r="E53" s="489"/>
      <c r="F53" s="446"/>
      <c r="G53" s="392">
        <v>0</v>
      </c>
      <c r="H53" s="393">
        <v>367583</v>
      </c>
      <c r="I53" s="393">
        <f>G53*H53</f>
        <v>0</v>
      </c>
      <c r="J53" s="425"/>
      <c r="K53" s="611">
        <f>SUM(I40:I53)</f>
        <v>87961100</v>
      </c>
      <c r="L53" s="6" t="s">
        <v>913</v>
      </c>
    </row>
    <row r="54" spans="1:12" ht="12.75" x14ac:dyDescent="0.2">
      <c r="A54" s="486"/>
      <c r="B54" s="489"/>
      <c r="C54" s="489"/>
      <c r="D54" s="489"/>
      <c r="E54" s="489"/>
      <c r="F54" s="446"/>
      <c r="G54" s="494"/>
      <c r="H54" s="494"/>
      <c r="I54" s="446"/>
      <c r="J54" s="425"/>
      <c r="K54" s="495"/>
    </row>
    <row r="55" spans="1:12" ht="12.75" x14ac:dyDescent="0.2">
      <c r="A55" s="496" t="s">
        <v>84</v>
      </c>
      <c r="B55" s="489"/>
      <c r="C55" s="489"/>
      <c r="D55" s="489"/>
      <c r="E55" s="489"/>
      <c r="F55" s="446"/>
      <c r="G55" s="494"/>
      <c r="H55" s="494"/>
      <c r="I55" s="446"/>
      <c r="J55" s="425"/>
    </row>
    <row r="56" spans="1:12" ht="12.75" x14ac:dyDescent="0.2">
      <c r="A56" s="493" t="s">
        <v>1007</v>
      </c>
      <c r="B56" s="489"/>
      <c r="C56" s="489"/>
      <c r="D56" s="489"/>
      <c r="E56" s="489">
        <v>0</v>
      </c>
      <c r="F56" s="446"/>
      <c r="G56" s="494"/>
      <c r="H56" s="494"/>
      <c r="I56" s="393">
        <v>0</v>
      </c>
      <c r="J56" s="427"/>
    </row>
    <row r="57" spans="1:12" ht="24" x14ac:dyDescent="0.2">
      <c r="A57" s="486" t="s">
        <v>858</v>
      </c>
      <c r="B57" s="489"/>
      <c r="C57" s="489"/>
      <c r="D57" s="489"/>
      <c r="E57" s="492">
        <v>0</v>
      </c>
      <c r="F57" s="446"/>
      <c r="G57" s="494"/>
      <c r="H57" s="494"/>
      <c r="I57" s="393">
        <v>0</v>
      </c>
      <c r="J57" s="425"/>
    </row>
    <row r="58" spans="1:12" ht="12.75" x14ac:dyDescent="0.2">
      <c r="A58" s="397" t="s">
        <v>859</v>
      </c>
      <c r="B58" s="489"/>
      <c r="C58" s="489"/>
      <c r="D58" s="489"/>
      <c r="E58" s="489"/>
      <c r="F58" s="446"/>
      <c r="G58" s="494"/>
      <c r="H58" s="494"/>
      <c r="I58" s="446"/>
      <c r="J58" s="425"/>
    </row>
    <row r="59" spans="1:12" ht="12.75" x14ac:dyDescent="0.2">
      <c r="A59" s="397" t="s">
        <v>860</v>
      </c>
      <c r="B59" s="489"/>
      <c r="C59" s="489"/>
      <c r="D59" s="489"/>
      <c r="E59" s="489"/>
      <c r="F59" s="446"/>
      <c r="G59" s="494"/>
      <c r="H59" s="494"/>
      <c r="I59" s="446"/>
      <c r="J59" s="425"/>
    </row>
    <row r="60" spans="1:12" ht="12.75" x14ac:dyDescent="0.2">
      <c r="A60" s="397" t="s">
        <v>861</v>
      </c>
      <c r="B60" s="489"/>
      <c r="C60" s="489"/>
      <c r="D60" s="489"/>
      <c r="E60" s="489"/>
      <c r="F60" s="446"/>
      <c r="G60" s="494"/>
      <c r="H60" s="494"/>
      <c r="I60" s="446"/>
      <c r="J60" s="425"/>
    </row>
    <row r="61" spans="1:12" ht="36" x14ac:dyDescent="0.2">
      <c r="A61" s="500" t="s">
        <v>1008</v>
      </c>
      <c r="B61" s="493"/>
      <c r="C61" s="502"/>
      <c r="D61" s="489"/>
      <c r="E61" s="489">
        <f>C61*D61/2</f>
        <v>0</v>
      </c>
      <c r="F61" s="394">
        <v>7822</v>
      </c>
      <c r="G61" s="503"/>
      <c r="H61" s="494"/>
      <c r="I61" s="446"/>
      <c r="J61" s="427"/>
    </row>
    <row r="62" spans="1:12" ht="24" x14ac:dyDescent="0.2">
      <c r="A62" s="486" t="s">
        <v>899</v>
      </c>
      <c r="B62" s="489"/>
      <c r="C62" s="493"/>
      <c r="D62" s="489"/>
      <c r="E62" s="489"/>
      <c r="F62" s="446"/>
      <c r="G62" s="399">
        <v>0</v>
      </c>
      <c r="H62" s="494"/>
      <c r="I62" s="446"/>
      <c r="J62" s="427"/>
    </row>
    <row r="63" spans="1:12" ht="12.75" x14ac:dyDescent="0.2">
      <c r="A63" s="397" t="s">
        <v>900</v>
      </c>
      <c r="B63" s="489"/>
      <c r="C63" s="493"/>
      <c r="D63" s="489"/>
      <c r="E63" s="489"/>
      <c r="F63" s="446"/>
      <c r="G63" s="398">
        <v>1</v>
      </c>
      <c r="H63" s="494"/>
      <c r="I63" s="446"/>
      <c r="J63" s="425"/>
    </row>
    <row r="64" spans="1:12" ht="12.75" x14ac:dyDescent="0.2">
      <c r="A64" s="397" t="s">
        <v>865</v>
      </c>
      <c r="B64" s="489"/>
      <c r="C64" s="504">
        <v>0.97299999999999998</v>
      </c>
      <c r="D64" s="489">
        <v>3000000</v>
      </c>
      <c r="E64" s="489"/>
      <c r="F64" s="446"/>
      <c r="G64" s="398">
        <v>2</v>
      </c>
      <c r="H64" s="394">
        <v>3000000</v>
      </c>
      <c r="I64" s="393">
        <f>(2*1+0)*3000000</f>
        <v>6000000</v>
      </c>
      <c r="J64" s="425"/>
    </row>
    <row r="65" spans="1:12" ht="12.75" x14ac:dyDescent="0.2">
      <c r="A65" s="397" t="s">
        <v>866</v>
      </c>
      <c r="B65" s="505"/>
      <c r="C65" s="489">
        <v>80</v>
      </c>
      <c r="D65" s="489">
        <v>55360</v>
      </c>
      <c r="E65" s="489">
        <f>C65*D65</f>
        <v>4428800</v>
      </c>
      <c r="F65" s="548"/>
      <c r="G65" s="394">
        <v>80</v>
      </c>
      <c r="H65" s="394">
        <v>55360</v>
      </c>
      <c r="I65" s="394">
        <f>G65*H65</f>
        <v>4428800</v>
      </c>
      <c r="J65" s="425"/>
    </row>
    <row r="66" spans="1:12" ht="12.75" x14ac:dyDescent="0.2">
      <c r="A66" s="397" t="s">
        <v>867</v>
      </c>
      <c r="B66" s="505"/>
      <c r="C66" s="489">
        <v>55</v>
      </c>
      <c r="D66" s="489">
        <v>145000</v>
      </c>
      <c r="E66" s="489">
        <f>C66*D66</f>
        <v>7975000</v>
      </c>
      <c r="F66" s="446"/>
      <c r="G66" s="489"/>
      <c r="H66" s="489"/>
      <c r="I66" s="489"/>
      <c r="J66" s="425"/>
    </row>
    <row r="67" spans="1:12" ht="12.75" x14ac:dyDescent="0.2">
      <c r="A67" s="397" t="s">
        <v>901</v>
      </c>
      <c r="B67" s="505"/>
      <c r="C67" s="489"/>
      <c r="D67" s="489"/>
      <c r="E67" s="489"/>
      <c r="F67" s="548"/>
      <c r="G67" s="616">
        <v>5</v>
      </c>
      <c r="H67" s="394">
        <v>25000</v>
      </c>
      <c r="I67" s="616">
        <f>G67*H67</f>
        <v>125000</v>
      </c>
      <c r="J67" s="425"/>
    </row>
    <row r="68" spans="1:12" ht="12.75" x14ac:dyDescent="0.2">
      <c r="A68" s="397" t="s">
        <v>902</v>
      </c>
      <c r="B68" s="505"/>
      <c r="C68" s="489"/>
      <c r="D68" s="489"/>
      <c r="E68" s="489"/>
      <c r="F68" s="548"/>
      <c r="G68" s="616">
        <v>49</v>
      </c>
      <c r="H68" s="394">
        <v>210000</v>
      </c>
      <c r="I68" s="616">
        <f>G68*H68</f>
        <v>10290000</v>
      </c>
      <c r="J68" s="425"/>
    </row>
    <row r="69" spans="1:12" ht="12.75" x14ac:dyDescent="0.2">
      <c r="A69" s="486" t="s">
        <v>903</v>
      </c>
      <c r="B69" s="553"/>
      <c r="C69" s="394">
        <v>23</v>
      </c>
      <c r="D69" s="394">
        <v>109000</v>
      </c>
      <c r="E69" s="394">
        <f>C69*D69</f>
        <v>2507000</v>
      </c>
      <c r="F69" s="393"/>
      <c r="G69" s="616">
        <v>25</v>
      </c>
      <c r="H69" s="394">
        <v>109000</v>
      </c>
      <c r="I69" s="616">
        <f>G69*H69</f>
        <v>2725000</v>
      </c>
      <c r="J69" s="425"/>
    </row>
    <row r="70" spans="1:12" ht="12.75" x14ac:dyDescent="0.2">
      <c r="A70" s="486" t="s">
        <v>869</v>
      </c>
      <c r="B70" s="553"/>
      <c r="C70" s="394"/>
      <c r="D70" s="394"/>
      <c r="E70" s="394"/>
      <c r="F70" s="393"/>
      <c r="G70" s="392"/>
      <c r="H70" s="392"/>
      <c r="I70" s="393"/>
      <c r="J70" s="425"/>
    </row>
    <row r="71" spans="1:12" ht="24" x14ac:dyDescent="0.2">
      <c r="A71" s="486" t="s">
        <v>1009</v>
      </c>
      <c r="B71" s="505"/>
      <c r="C71" s="489"/>
      <c r="D71" s="489"/>
      <c r="E71" s="489"/>
      <c r="F71" s="446"/>
      <c r="G71" s="494"/>
      <c r="H71" s="494"/>
      <c r="I71" s="446"/>
      <c r="J71" s="425"/>
    </row>
    <row r="72" spans="1:12" ht="24" x14ac:dyDescent="0.2">
      <c r="A72" s="500" t="s">
        <v>914</v>
      </c>
      <c r="B72" s="505"/>
      <c r="C72" s="489">
        <v>15</v>
      </c>
      <c r="D72" s="489">
        <v>2606040</v>
      </c>
      <c r="E72" s="489">
        <f>C72*D72</f>
        <v>39090600</v>
      </c>
      <c r="F72" s="548"/>
      <c r="G72" s="394">
        <v>15</v>
      </c>
      <c r="H72" s="394">
        <v>2606040</v>
      </c>
      <c r="I72" s="394">
        <f>G72*H72</f>
        <v>39090600</v>
      </c>
      <c r="J72" s="425"/>
    </row>
    <row r="73" spans="1:12" ht="36" x14ac:dyDescent="0.2">
      <c r="A73" s="397" t="s">
        <v>874</v>
      </c>
      <c r="B73" s="505"/>
      <c r="C73" s="489"/>
      <c r="D73" s="489"/>
      <c r="E73" s="492">
        <v>37834000</v>
      </c>
      <c r="F73" s="548" t="s">
        <v>1010</v>
      </c>
      <c r="G73" s="494"/>
      <c r="H73" s="494"/>
      <c r="I73" s="446">
        <v>30040000</v>
      </c>
      <c r="J73" s="429"/>
    </row>
    <row r="74" spans="1:12" ht="12.75" x14ac:dyDescent="0.2">
      <c r="A74" s="397" t="s">
        <v>1011</v>
      </c>
      <c r="B74" s="505"/>
      <c r="C74" s="489"/>
      <c r="D74" s="489"/>
      <c r="E74" s="489"/>
      <c r="F74" s="446"/>
      <c r="G74" s="494"/>
      <c r="H74" s="494"/>
      <c r="I74" s="446"/>
      <c r="J74" s="425"/>
    </row>
    <row r="75" spans="1:12" ht="12.75" x14ac:dyDescent="0.2">
      <c r="A75" s="397" t="s">
        <v>1012</v>
      </c>
      <c r="B75" s="489"/>
      <c r="C75" s="498">
        <v>12.33</v>
      </c>
      <c r="D75" s="489">
        <v>1632000</v>
      </c>
      <c r="E75" s="489">
        <f>C75*D75</f>
        <v>20122560</v>
      </c>
      <c r="F75" s="617" t="s">
        <v>1035</v>
      </c>
      <c r="G75" s="395">
        <v>14.4</v>
      </c>
      <c r="H75" s="606">
        <v>1900000</v>
      </c>
      <c r="I75" s="394">
        <f>G75*H75</f>
        <v>27360000</v>
      </c>
      <c r="J75" s="430"/>
    </row>
    <row r="76" spans="1:12" ht="36" x14ac:dyDescent="0.2">
      <c r="A76" s="397" t="s">
        <v>1013</v>
      </c>
      <c r="B76" s="489"/>
      <c r="C76" s="489"/>
      <c r="D76" s="489"/>
      <c r="E76" s="492">
        <v>7038795</v>
      </c>
      <c r="F76" s="548" t="s">
        <v>1010</v>
      </c>
      <c r="G76" s="494"/>
      <c r="H76" s="494"/>
      <c r="I76" s="446">
        <v>13278900</v>
      </c>
      <c r="J76" s="431"/>
    </row>
    <row r="77" spans="1:12" ht="24" x14ac:dyDescent="0.2">
      <c r="A77" s="486" t="s">
        <v>1014</v>
      </c>
      <c r="B77" s="489"/>
      <c r="C77" s="489"/>
      <c r="D77" s="489"/>
      <c r="E77" s="492"/>
      <c r="F77" s="548"/>
      <c r="G77" s="610">
        <v>0</v>
      </c>
      <c r="H77" s="393">
        <v>285</v>
      </c>
      <c r="I77" s="610">
        <f>G77*H77</f>
        <v>0</v>
      </c>
      <c r="J77" s="425"/>
    </row>
    <row r="78" spans="1:12" ht="12.75" x14ac:dyDescent="0.2">
      <c r="A78" s="486" t="s">
        <v>1015</v>
      </c>
      <c r="B78" s="489"/>
      <c r="C78" s="489"/>
      <c r="D78" s="489"/>
      <c r="E78" s="508"/>
      <c r="F78" s="548"/>
      <c r="G78" s="551"/>
      <c r="H78" s="393"/>
      <c r="I78" s="393"/>
      <c r="J78" s="425"/>
      <c r="K78" s="495">
        <f>SUM(I56:I82)</f>
        <v>147563700</v>
      </c>
      <c r="L78" s="6" t="s">
        <v>915</v>
      </c>
    </row>
    <row r="79" spans="1:12" ht="12.75" x14ac:dyDescent="0.2">
      <c r="A79" s="486" t="s">
        <v>1016</v>
      </c>
      <c r="B79" s="489"/>
      <c r="C79" s="489"/>
      <c r="D79" s="489"/>
      <c r="E79" s="508"/>
      <c r="F79" s="548"/>
      <c r="G79" s="551"/>
      <c r="H79" s="393"/>
      <c r="I79" s="393"/>
      <c r="J79" s="425"/>
      <c r="K79" s="495"/>
    </row>
    <row r="80" spans="1:12" ht="36" x14ac:dyDescent="0.2">
      <c r="A80" s="486" t="s">
        <v>1017</v>
      </c>
      <c r="B80" s="489"/>
      <c r="C80" s="489"/>
      <c r="D80" s="489"/>
      <c r="E80" s="508"/>
      <c r="F80" s="586" t="s">
        <v>1018</v>
      </c>
      <c r="G80" s="551">
        <v>1.8</v>
      </c>
      <c r="H80" s="393">
        <v>2993000</v>
      </c>
      <c r="I80" s="393">
        <f>G80*H80</f>
        <v>5387400</v>
      </c>
      <c r="J80" s="425"/>
      <c r="K80" s="495"/>
    </row>
    <row r="81" spans="1:14" ht="36" x14ac:dyDescent="0.2">
      <c r="A81" s="486" t="s">
        <v>1019</v>
      </c>
      <c r="B81" s="489"/>
      <c r="C81" s="489"/>
      <c r="D81" s="489"/>
      <c r="E81" s="508"/>
      <c r="F81" s="586" t="s">
        <v>1020</v>
      </c>
      <c r="G81" s="551">
        <v>2</v>
      </c>
      <c r="H81" s="393">
        <v>4419000</v>
      </c>
      <c r="I81" s="393">
        <f>G81*H81</f>
        <v>8838000</v>
      </c>
      <c r="J81" s="425"/>
      <c r="K81" s="495"/>
    </row>
    <row r="82" spans="1:14" ht="24" x14ac:dyDescent="0.2">
      <c r="A82" s="486" t="s">
        <v>1021</v>
      </c>
      <c r="B82" s="489"/>
      <c r="C82" s="489"/>
      <c r="D82" s="489"/>
      <c r="E82" s="508"/>
      <c r="F82" s="548"/>
      <c r="G82" s="551"/>
      <c r="H82" s="393">
        <v>0</v>
      </c>
      <c r="I82" s="393">
        <v>0</v>
      </c>
      <c r="J82" s="425"/>
      <c r="K82" s="495"/>
    </row>
    <row r="83" spans="1:14" ht="12.75" x14ac:dyDescent="0.2">
      <c r="A83" s="486"/>
      <c r="B83" s="489"/>
      <c r="C83" s="489"/>
      <c r="D83" s="489"/>
      <c r="E83" s="508"/>
      <c r="F83" s="548"/>
      <c r="G83" s="551"/>
      <c r="H83" s="393"/>
      <c r="I83" s="393"/>
      <c r="J83" s="425"/>
      <c r="K83" s="495"/>
    </row>
    <row r="84" spans="1:14" ht="12.75" x14ac:dyDescent="0.2">
      <c r="A84" s="397" t="s">
        <v>880</v>
      </c>
      <c r="B84" s="489"/>
      <c r="C84" s="489"/>
      <c r="D84" s="489"/>
      <c r="E84" s="508"/>
      <c r="F84" s="446"/>
      <c r="G84" s="494"/>
      <c r="H84" s="494"/>
      <c r="I84" s="446"/>
      <c r="J84" s="425"/>
    </row>
    <row r="85" spans="1:14" ht="12.75" x14ac:dyDescent="0.2">
      <c r="A85" s="397" t="s">
        <v>881</v>
      </c>
      <c r="B85" s="489"/>
      <c r="C85" s="489"/>
      <c r="D85" s="489"/>
      <c r="E85" s="508"/>
      <c r="F85" s="446"/>
      <c r="G85" s="494"/>
      <c r="H85" s="494"/>
      <c r="I85" s="446"/>
      <c r="J85" s="425"/>
    </row>
    <row r="86" spans="1:14" ht="12.75" x14ac:dyDescent="0.2">
      <c r="A86" s="397" t="s">
        <v>882</v>
      </c>
      <c r="B86" s="489"/>
      <c r="C86" s="489">
        <v>4865</v>
      </c>
      <c r="D86" s="489">
        <v>1140</v>
      </c>
      <c r="E86" s="509"/>
      <c r="F86" s="446"/>
      <c r="G86" s="394">
        <v>4705</v>
      </c>
      <c r="H86" s="606">
        <v>1210</v>
      </c>
      <c r="I86" s="208">
        <f>G86*H86</f>
        <v>5693050</v>
      </c>
      <c r="J86" s="425"/>
    </row>
    <row r="87" spans="1:14" ht="48" x14ac:dyDescent="0.2">
      <c r="A87" s="486" t="s">
        <v>883</v>
      </c>
      <c r="B87" s="489"/>
      <c r="C87" s="489"/>
      <c r="D87" s="489"/>
      <c r="E87" s="509"/>
      <c r="F87" s="586" t="s">
        <v>1022</v>
      </c>
      <c r="G87" s="489"/>
      <c r="H87" s="489"/>
      <c r="I87" s="208">
        <v>0</v>
      </c>
      <c r="J87" s="425"/>
    </row>
    <row r="88" spans="1:14" ht="48" x14ac:dyDescent="0.2">
      <c r="A88" s="486" t="s">
        <v>1023</v>
      </c>
      <c r="B88" s="489"/>
      <c r="C88" s="489"/>
      <c r="D88" s="489"/>
      <c r="E88" s="509"/>
      <c r="F88" s="586" t="s">
        <v>1024</v>
      </c>
      <c r="G88" s="489"/>
      <c r="H88" s="489"/>
      <c r="I88" s="208">
        <v>0</v>
      </c>
      <c r="J88" s="425"/>
    </row>
    <row r="89" spans="1:14" ht="12.75" x14ac:dyDescent="0.2">
      <c r="A89" s="500" t="s">
        <v>1025</v>
      </c>
      <c r="B89" s="505"/>
      <c r="C89" s="489"/>
      <c r="D89" s="503"/>
      <c r="E89" s="489"/>
      <c r="F89" s="446"/>
      <c r="G89" s="494"/>
      <c r="H89" s="494"/>
      <c r="I89" s="446"/>
      <c r="J89" s="425"/>
      <c r="K89" s="495">
        <f>SUM(I86+I87)</f>
        <v>5693050</v>
      </c>
      <c r="L89" s="6" t="s">
        <v>916</v>
      </c>
    </row>
    <row r="90" spans="1:14" ht="24" x14ac:dyDescent="0.2">
      <c r="A90" s="510" t="s">
        <v>1026</v>
      </c>
      <c r="B90" s="554"/>
      <c r="C90" s="555"/>
      <c r="D90" s="394"/>
      <c r="E90" s="394"/>
      <c r="F90" s="556"/>
      <c r="G90" s="392"/>
      <c r="H90" s="392"/>
      <c r="I90" s="446"/>
      <c r="J90" s="425"/>
      <c r="K90" s="495"/>
      <c r="L90" s="495">
        <f>I15+I18+I21+I24+I27+I30+I33</f>
        <v>-123432901</v>
      </c>
      <c r="M90" s="557" t="s">
        <v>917</v>
      </c>
      <c r="N90" s="207"/>
    </row>
    <row r="91" spans="1:14" ht="12.75" x14ac:dyDescent="0.2">
      <c r="A91" s="535" t="s">
        <v>1027</v>
      </c>
      <c r="B91" s="558"/>
      <c r="C91" s="559"/>
      <c r="D91" s="560"/>
      <c r="E91" s="560"/>
      <c r="F91" s="561"/>
      <c r="G91" s="562"/>
      <c r="H91" s="562"/>
      <c r="I91" s="563">
        <v>0</v>
      </c>
      <c r="J91" s="425"/>
      <c r="K91" s="495"/>
      <c r="L91" s="495"/>
      <c r="M91" s="557"/>
      <c r="N91" s="207"/>
    </row>
    <row r="92" spans="1:14" ht="12.75" x14ac:dyDescent="0.2">
      <c r="A92" s="535"/>
      <c r="B92" s="558"/>
      <c r="C92" s="559"/>
      <c r="D92" s="560"/>
      <c r="E92" s="560"/>
      <c r="F92" s="558"/>
      <c r="G92" s="562"/>
      <c r="H92" s="562"/>
      <c r="I92" s="516"/>
      <c r="J92" s="425"/>
      <c r="K92" s="495"/>
      <c r="L92" s="495"/>
      <c r="N92" s="207"/>
    </row>
    <row r="93" spans="1:14" ht="12.75" x14ac:dyDescent="0.2">
      <c r="A93" s="535" t="s">
        <v>904</v>
      </c>
      <c r="B93" s="558"/>
      <c r="C93" s="559"/>
      <c r="D93" s="560"/>
      <c r="E93" s="560"/>
      <c r="F93" s="558"/>
      <c r="G93" s="562"/>
      <c r="H93" s="562"/>
      <c r="I93" s="516"/>
      <c r="J93" s="425"/>
      <c r="K93" s="495"/>
      <c r="L93" s="495"/>
      <c r="N93" s="207"/>
    </row>
    <row r="94" spans="1:14" ht="12.75" x14ac:dyDescent="0.2">
      <c r="A94" s="535" t="s">
        <v>905</v>
      </c>
      <c r="B94" s="558"/>
      <c r="C94" s="559"/>
      <c r="D94" s="560"/>
      <c r="E94" s="560"/>
      <c r="F94" s="558"/>
      <c r="G94" s="562"/>
      <c r="H94" s="562"/>
      <c r="I94" s="563">
        <v>0</v>
      </c>
      <c r="J94" s="425"/>
      <c r="K94" s="495"/>
      <c r="L94" s="495"/>
      <c r="N94" s="207"/>
    </row>
    <row r="95" spans="1:14" ht="12.75" x14ac:dyDescent="0.2">
      <c r="A95" s="536" t="s">
        <v>906</v>
      </c>
      <c r="B95" s="558"/>
      <c r="C95" s="559"/>
      <c r="D95" s="560"/>
      <c r="E95" s="560"/>
      <c r="F95" s="558"/>
      <c r="G95" s="562"/>
      <c r="H95" s="562"/>
      <c r="I95" s="563">
        <v>0</v>
      </c>
      <c r="J95" s="425"/>
      <c r="K95" s="495">
        <f>I94+I95</f>
        <v>0</v>
      </c>
      <c r="L95" s="495" t="s">
        <v>918</v>
      </c>
      <c r="N95" s="207"/>
    </row>
    <row r="96" spans="1:14" ht="13.5" thickBot="1" x14ac:dyDescent="0.25">
      <c r="A96" s="512"/>
      <c r="B96" s="513"/>
      <c r="C96" s="514"/>
      <c r="D96" s="515"/>
      <c r="E96" s="514"/>
      <c r="F96" s="516"/>
      <c r="G96" s="517"/>
      <c r="H96" s="517"/>
      <c r="I96" s="516"/>
      <c r="J96" s="425"/>
    </row>
    <row r="97" spans="1:256" ht="12.75" thickBot="1" x14ac:dyDescent="0.25">
      <c r="A97" s="518" t="s">
        <v>885</v>
      </c>
      <c r="B97" s="519"/>
      <c r="C97" s="519"/>
      <c r="D97" s="520"/>
      <c r="E97" s="521" t="e">
        <f>E12+E14+E17+E20+E23+E28+E31+E34+E40+E41+#REF!+E42+E44+E47+E49+E52+E56+E57+E61+E62+E65+E66+E69+#REF!+E72+E73+E75+E76</f>
        <v>#REF!</v>
      </c>
      <c r="F97" s="1468">
        <f>I12+I16+I19+I22+I25+I28+I31+I34+I35+I36+I40+I41+I42+I43+I44+I45+I47+I48+I49+I50+I52+I53+I56+I57+I64+I65+I67+I68+I69+I72+I73+I75+I76+I77+I80+I81+I82+I86+I87+I88+I94+I95+I91</f>
        <v>789557318</v>
      </c>
      <c r="G97" s="1468"/>
      <c r="H97" s="1468"/>
      <c r="I97" s="1469"/>
      <c r="J97" s="7"/>
      <c r="K97" s="522">
        <f>K78+K53+K35+K89</f>
        <v>789557318</v>
      </c>
      <c r="L97" s="564" t="s">
        <v>919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65"/>
      <c r="B99" s="566"/>
      <c r="C99" s="566"/>
      <c r="D99" s="566"/>
      <c r="E99" s="567"/>
      <c r="F99" s="568"/>
      <c r="G99" s="568"/>
      <c r="H99" s="568"/>
      <c r="I99" s="568"/>
    </row>
    <row r="100" spans="1:256" ht="12.75" x14ac:dyDescent="0.2">
      <c r="A100" s="607" t="s">
        <v>1028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workbookViewId="0">
      <pane ySplit="7" topLeftCell="A29" activePane="bottomLeft" state="frozen"/>
      <selection activeCell="B65" sqref="B65"/>
      <selection pane="bottomLeft" activeCell="J7" sqref="J7:N8"/>
    </sheetView>
  </sheetViews>
  <sheetFormatPr defaultColWidth="9.140625" defaultRowHeight="14.45" customHeight="1" x14ac:dyDescent="0.2"/>
  <cols>
    <col min="1" max="1" width="9.140625" style="10"/>
    <col min="2" max="2" width="5.140625" style="240" customWidth="1"/>
    <col min="3" max="3" width="50.42578125" style="14" customWidth="1"/>
    <col min="4" max="4" width="11.85546875" style="118" customWidth="1"/>
    <col min="5" max="5" width="12.7109375" style="118" customWidth="1"/>
    <col min="6" max="6" width="13.5703125" style="118" customWidth="1"/>
    <col min="7" max="9" width="0" style="119" hidden="1" customWidth="1"/>
    <col min="10" max="16384" width="9.140625" style="10"/>
  </cols>
  <sheetData>
    <row r="1" spans="1:14" ht="14.45" customHeight="1" x14ac:dyDescent="0.2">
      <c r="C1" s="1460" t="s">
        <v>1364</v>
      </c>
      <c r="D1" s="1460"/>
      <c r="E1" s="1460"/>
      <c r="F1" s="1460"/>
      <c r="G1" s="1460"/>
      <c r="H1" s="1460"/>
      <c r="I1" s="1460"/>
    </row>
    <row r="2" spans="1:14" ht="14.45" customHeight="1" x14ac:dyDescent="0.2">
      <c r="C2" s="1460"/>
      <c r="D2" s="1460"/>
      <c r="E2" s="1460"/>
      <c r="F2" s="1460"/>
      <c r="G2" s="1460"/>
      <c r="H2" s="1460"/>
      <c r="I2" s="1460"/>
    </row>
    <row r="3" spans="1:14" ht="14.45" customHeight="1" x14ac:dyDescent="0.2">
      <c r="B3" s="1464" t="s">
        <v>54</v>
      </c>
      <c r="C3" s="1456"/>
      <c r="D3" s="1456"/>
      <c r="E3" s="1456"/>
      <c r="F3" s="1456"/>
      <c r="G3" s="1456"/>
      <c r="H3" s="1456"/>
      <c r="I3" s="1456"/>
    </row>
    <row r="4" spans="1:14" s="11" customFormat="1" ht="14.45" customHeight="1" x14ac:dyDescent="0.2">
      <c r="B4" s="1474" t="s">
        <v>1145</v>
      </c>
      <c r="C4" s="1456"/>
      <c r="D4" s="1456"/>
      <c r="E4" s="1456"/>
      <c r="F4" s="1456"/>
      <c r="G4" s="1456"/>
      <c r="H4" s="1456"/>
      <c r="I4" s="1456"/>
    </row>
    <row r="5" spans="1:14" s="11" customFormat="1" ht="14.45" customHeight="1" x14ac:dyDescent="0.15">
      <c r="B5" s="130"/>
    </row>
    <row r="6" spans="1:14" ht="14.45" customHeight="1" thickBot="1" x14ac:dyDescent="0.25">
      <c r="B6" s="1405" t="s">
        <v>434</v>
      </c>
      <c r="C6" s="1456"/>
      <c r="D6" s="1456"/>
      <c r="E6" s="1456"/>
      <c r="F6" s="1456"/>
      <c r="G6" s="1456"/>
      <c r="H6" s="1456"/>
      <c r="I6" s="1456"/>
    </row>
    <row r="7" spans="1:14" s="12" customFormat="1" ht="36.75" customHeight="1" x14ac:dyDescent="0.2">
      <c r="B7" s="1475" t="s">
        <v>56</v>
      </c>
      <c r="C7" s="1477" t="s">
        <v>85</v>
      </c>
      <c r="D7" s="1479" t="s">
        <v>1144</v>
      </c>
      <c r="E7" s="1479"/>
      <c r="F7" s="1480"/>
      <c r="G7" s="127"/>
      <c r="J7" s="1449" t="s">
        <v>1400</v>
      </c>
      <c r="K7" s="1450"/>
      <c r="L7" s="1450" t="s">
        <v>1399</v>
      </c>
      <c r="M7" s="1450"/>
      <c r="N7" s="1451"/>
    </row>
    <row r="8" spans="1:14" s="12" customFormat="1" ht="40.9" customHeight="1" thickBot="1" x14ac:dyDescent="0.25">
      <c r="B8" s="1476"/>
      <c r="C8" s="1478"/>
      <c r="D8" s="752" t="s">
        <v>62</v>
      </c>
      <c r="E8" s="752" t="s">
        <v>63</v>
      </c>
      <c r="F8" s="753" t="s">
        <v>64</v>
      </c>
      <c r="G8" s="127"/>
      <c r="J8" s="938" t="s">
        <v>62</v>
      </c>
      <c r="K8" s="939" t="s">
        <v>63</v>
      </c>
      <c r="L8" s="939" t="s">
        <v>62</v>
      </c>
      <c r="M8" s="939" t="s">
        <v>63</v>
      </c>
      <c r="N8" s="940" t="s">
        <v>64</v>
      </c>
    </row>
    <row r="9" spans="1:14" s="12" customFormat="1" ht="10.5" customHeight="1" x14ac:dyDescent="0.2">
      <c r="A9" s="751"/>
      <c r="B9" s="759"/>
      <c r="C9" s="141"/>
      <c r="D9" s="142"/>
      <c r="E9" s="142"/>
      <c r="F9" s="339"/>
      <c r="G9" s="127"/>
      <c r="J9" s="387"/>
    </row>
    <row r="10" spans="1:14" s="12" customFormat="1" ht="14.45" customHeight="1" x14ac:dyDescent="0.2">
      <c r="A10" s="751"/>
      <c r="B10" s="894" t="s">
        <v>479</v>
      </c>
      <c r="C10" s="895" t="s">
        <v>86</v>
      </c>
      <c r="D10" s="848"/>
      <c r="E10" s="848"/>
      <c r="F10" s="848"/>
      <c r="G10" s="801"/>
      <c r="H10" s="828"/>
      <c r="I10" s="828"/>
      <c r="J10" s="828"/>
      <c r="K10" s="828"/>
      <c r="L10" s="828"/>
      <c r="M10" s="828"/>
      <c r="N10" s="828"/>
    </row>
    <row r="11" spans="1:14" s="12" customFormat="1" ht="14.45" customHeight="1" x14ac:dyDescent="0.2">
      <c r="A11" s="751"/>
      <c r="B11" s="894" t="s">
        <v>487</v>
      </c>
      <c r="C11" s="896" t="s">
        <v>1103</v>
      </c>
      <c r="D11" s="848"/>
      <c r="E11" s="848"/>
      <c r="F11" s="848"/>
      <c r="G11" s="801"/>
      <c r="H11" s="828"/>
      <c r="I11" s="828"/>
      <c r="J11" s="828"/>
      <c r="K11" s="828"/>
      <c r="L11" s="828"/>
      <c r="M11" s="828"/>
      <c r="N11" s="828"/>
    </row>
    <row r="12" spans="1:14" s="12" customFormat="1" ht="14.45" customHeight="1" x14ac:dyDescent="0.2">
      <c r="A12" s="751"/>
      <c r="B12" s="894" t="s">
        <v>488</v>
      </c>
      <c r="C12" s="897" t="s">
        <v>97</v>
      </c>
      <c r="D12" s="788">
        <v>19447</v>
      </c>
      <c r="E12" s="788">
        <v>29300</v>
      </c>
      <c r="F12" s="788">
        <f>SUM(D12:E12)</f>
        <v>48747</v>
      </c>
      <c r="G12" s="801"/>
      <c r="H12" s="828"/>
      <c r="I12" s="828"/>
      <c r="J12" s="828"/>
      <c r="K12" s="828"/>
      <c r="L12" s="828"/>
      <c r="M12" s="828"/>
      <c r="N12" s="828"/>
    </row>
    <row r="13" spans="1:14" s="12" customFormat="1" ht="14.45" customHeight="1" x14ac:dyDescent="0.2">
      <c r="A13" s="751"/>
      <c r="B13" s="894" t="s">
        <v>489</v>
      </c>
      <c r="C13" s="897" t="s">
        <v>283</v>
      </c>
      <c r="D13" s="788"/>
      <c r="E13" s="788">
        <v>24</v>
      </c>
      <c r="F13" s="788">
        <f>SUM(D13:E13)</f>
        <v>24</v>
      </c>
      <c r="G13" s="801"/>
      <c r="H13" s="828"/>
      <c r="I13" s="828"/>
      <c r="J13" s="828"/>
      <c r="K13" s="828"/>
      <c r="L13" s="828"/>
      <c r="M13" s="828"/>
      <c r="N13" s="828"/>
    </row>
    <row r="14" spans="1:14" s="12" customFormat="1" ht="14.45" customHeight="1" x14ac:dyDescent="0.2">
      <c r="A14" s="751"/>
      <c r="B14" s="894" t="s">
        <v>490</v>
      </c>
      <c r="C14" s="865" t="s">
        <v>98</v>
      </c>
      <c r="D14" s="788"/>
      <c r="E14" s="788">
        <v>0</v>
      </c>
      <c r="F14" s="788">
        <f>SUM(D14:E14)</f>
        <v>0</v>
      </c>
      <c r="G14" s="801"/>
      <c r="H14" s="828"/>
      <c r="I14" s="828"/>
      <c r="J14" s="828"/>
      <c r="K14" s="828"/>
      <c r="L14" s="828"/>
      <c r="M14" s="828"/>
      <c r="N14" s="828"/>
    </row>
    <row r="15" spans="1:14" s="12" customFormat="1" ht="14.45" customHeight="1" thickBot="1" x14ac:dyDescent="0.25">
      <c r="A15" s="751"/>
      <c r="B15" s="905" t="s">
        <v>491</v>
      </c>
      <c r="C15" s="906" t="s">
        <v>99</v>
      </c>
      <c r="D15" s="870"/>
      <c r="E15" s="870"/>
      <c r="F15" s="870"/>
      <c r="G15" s="915"/>
      <c r="H15" s="916"/>
      <c r="I15" s="916"/>
      <c r="J15" s="916"/>
      <c r="K15" s="916"/>
      <c r="L15" s="916"/>
      <c r="M15" s="813"/>
      <c r="N15" s="916"/>
    </row>
    <row r="16" spans="1:14" s="12" customFormat="1" ht="14.45" customHeight="1" thickBot="1" x14ac:dyDescent="0.25">
      <c r="B16" s="761" t="s">
        <v>492</v>
      </c>
      <c r="C16" s="342" t="s">
        <v>1106</v>
      </c>
      <c r="D16" s="220">
        <f>SUM(D12:D15)</f>
        <v>19447</v>
      </c>
      <c r="E16" s="220">
        <f>SUM(E12:E15)</f>
        <v>29324</v>
      </c>
      <c r="F16" s="604">
        <f>SUM(F12:F15)</f>
        <v>48771</v>
      </c>
      <c r="G16" s="936"/>
      <c r="H16" s="937"/>
      <c r="I16" s="937"/>
      <c r="J16" s="920"/>
      <c r="K16" s="920"/>
      <c r="L16" s="920"/>
      <c r="M16" s="920"/>
      <c r="N16" s="921"/>
    </row>
    <row r="17" spans="1:14" s="12" customFormat="1" ht="14.45" customHeight="1" x14ac:dyDescent="0.2">
      <c r="A17" s="751"/>
      <c r="B17" s="760" t="s">
        <v>493</v>
      </c>
      <c r="C17" s="143"/>
      <c r="D17" s="129"/>
      <c r="E17" s="129"/>
      <c r="F17" s="340"/>
      <c r="G17" s="127"/>
      <c r="J17" s="387"/>
    </row>
    <row r="18" spans="1:14" s="12" customFormat="1" ht="14.45" customHeight="1" x14ac:dyDescent="0.2">
      <c r="A18" s="898"/>
      <c r="B18" s="894" t="s">
        <v>494</v>
      </c>
      <c r="C18" s="899" t="s">
        <v>284</v>
      </c>
      <c r="D18" s="786"/>
      <c r="E18" s="786"/>
      <c r="F18" s="786"/>
      <c r="G18" s="801"/>
      <c r="H18" s="828"/>
      <c r="I18" s="828"/>
      <c r="J18" s="828"/>
      <c r="K18" s="828"/>
      <c r="L18" s="828"/>
      <c r="M18" s="828"/>
      <c r="N18" s="828"/>
    </row>
    <row r="19" spans="1:14" s="12" customFormat="1" ht="14.45" customHeight="1" x14ac:dyDescent="0.2">
      <c r="A19" s="898"/>
      <c r="B19" s="894" t="s">
        <v>530</v>
      </c>
      <c r="C19" s="865" t="s">
        <v>1123</v>
      </c>
      <c r="D19" s="786"/>
      <c r="E19" s="788">
        <v>180</v>
      </c>
      <c r="F19" s="788">
        <f>D19+E19</f>
        <v>180</v>
      </c>
      <c r="G19" s="801"/>
      <c r="H19" s="828"/>
      <c r="I19" s="828"/>
      <c r="J19" s="828"/>
      <c r="K19" s="828"/>
      <c r="L19" s="828"/>
      <c r="M19" s="828"/>
      <c r="N19" s="828"/>
    </row>
    <row r="20" spans="1:14" s="12" customFormat="1" ht="14.45" customHeight="1" thickBot="1" x14ac:dyDescent="0.25">
      <c r="A20" s="898"/>
      <c r="B20" s="905" t="s">
        <v>531</v>
      </c>
      <c r="C20" s="906" t="s">
        <v>1359</v>
      </c>
      <c r="D20" s="853"/>
      <c r="E20" s="870">
        <v>153744</v>
      </c>
      <c r="F20" s="870">
        <f>D20+E20</f>
        <v>153744</v>
      </c>
      <c r="G20" s="915"/>
      <c r="H20" s="916"/>
      <c r="I20" s="916"/>
      <c r="J20" s="916"/>
      <c r="K20" s="916"/>
      <c r="L20" s="916"/>
      <c r="M20" s="916"/>
      <c r="N20" s="916"/>
    </row>
    <row r="21" spans="1:14" s="12" customFormat="1" ht="14.45" customHeight="1" thickBot="1" x14ac:dyDescent="0.25">
      <c r="B21" s="761" t="s">
        <v>532</v>
      </c>
      <c r="C21" s="907" t="s">
        <v>285</v>
      </c>
      <c r="D21" s="689">
        <f>D19</f>
        <v>0</v>
      </c>
      <c r="E21" s="689">
        <f>E19+E20</f>
        <v>153924</v>
      </c>
      <c r="F21" s="689">
        <f t="shared" ref="F21:I21" si="0">F19+F20</f>
        <v>153924</v>
      </c>
      <c r="G21" s="689">
        <f t="shared" si="0"/>
        <v>0</v>
      </c>
      <c r="H21" s="689">
        <f t="shared" si="0"/>
        <v>0</v>
      </c>
      <c r="I21" s="689">
        <f t="shared" si="0"/>
        <v>0</v>
      </c>
      <c r="J21" s="920"/>
      <c r="K21" s="920"/>
      <c r="L21" s="920"/>
      <c r="M21" s="920"/>
      <c r="N21" s="921"/>
    </row>
    <row r="22" spans="1:14" s="12" customFormat="1" ht="14.45" customHeight="1" x14ac:dyDescent="0.2">
      <c r="A22" s="898"/>
      <c r="B22" s="917" t="s">
        <v>533</v>
      </c>
      <c r="C22" s="918"/>
      <c r="D22" s="885"/>
      <c r="E22" s="885"/>
      <c r="F22" s="885"/>
      <c r="G22" s="934"/>
      <c r="H22" s="919"/>
      <c r="I22" s="919"/>
      <c r="J22" s="919"/>
      <c r="K22" s="919"/>
      <c r="L22" s="919"/>
      <c r="M22" s="919"/>
      <c r="N22" s="919"/>
    </row>
    <row r="23" spans="1:14" s="12" customFormat="1" ht="14.45" customHeight="1" thickBot="1" x14ac:dyDescent="0.25">
      <c r="A23" s="898"/>
      <c r="B23" s="905" t="s">
        <v>534</v>
      </c>
      <c r="C23" s="931" t="s">
        <v>1104</v>
      </c>
      <c r="D23" s="853"/>
      <c r="E23" s="853"/>
      <c r="F23" s="853"/>
      <c r="G23" s="915"/>
      <c r="H23" s="916"/>
      <c r="I23" s="916"/>
      <c r="J23" s="916"/>
      <c r="K23" s="916"/>
      <c r="L23" s="916"/>
      <c r="M23" s="916"/>
      <c r="N23" s="916"/>
    </row>
    <row r="24" spans="1:14" s="12" customFormat="1" ht="14.45" customHeight="1" thickBot="1" x14ac:dyDescent="0.25">
      <c r="B24" s="761" t="s">
        <v>535</v>
      </c>
      <c r="C24" s="907" t="s">
        <v>1105</v>
      </c>
      <c r="D24" s="689">
        <f>SUM(D23:D23)</f>
        <v>0</v>
      </c>
      <c r="E24" s="689">
        <f t="shared" ref="E24:F24" si="1">SUM(E23:E23)</f>
        <v>0</v>
      </c>
      <c r="F24" s="689">
        <f t="shared" si="1"/>
        <v>0</v>
      </c>
      <c r="G24" s="935"/>
      <c r="H24" s="920"/>
      <c r="I24" s="920"/>
      <c r="J24" s="920"/>
      <c r="K24" s="920"/>
      <c r="L24" s="920"/>
      <c r="M24" s="920"/>
      <c r="N24" s="921"/>
    </row>
    <row r="25" spans="1:14" s="12" customFormat="1" ht="12" customHeight="1" x14ac:dyDescent="0.2">
      <c r="A25" s="898"/>
      <c r="B25" s="917" t="s">
        <v>536</v>
      </c>
      <c r="C25" s="932"/>
      <c r="D25" s="933"/>
      <c r="E25" s="933"/>
      <c r="F25" s="933"/>
      <c r="G25" s="934"/>
      <c r="H25" s="919"/>
      <c r="I25" s="919"/>
      <c r="J25" s="919"/>
      <c r="K25" s="919"/>
      <c r="L25" s="919"/>
      <c r="M25" s="919"/>
      <c r="N25" s="919"/>
    </row>
    <row r="26" spans="1:14" s="11" customFormat="1" ht="14.45" customHeight="1" x14ac:dyDescent="0.2">
      <c r="A26" s="598"/>
      <c r="B26" s="894" t="s">
        <v>537</v>
      </c>
      <c r="C26" s="901" t="s">
        <v>965</v>
      </c>
      <c r="D26" s="786"/>
      <c r="E26" s="786"/>
      <c r="F26" s="786"/>
      <c r="G26" s="802"/>
      <c r="H26" s="803"/>
      <c r="I26" s="803"/>
      <c r="J26" s="803"/>
      <c r="K26" s="803"/>
      <c r="L26" s="803"/>
      <c r="M26" s="803"/>
      <c r="N26" s="803"/>
    </row>
    <row r="27" spans="1:14" s="11" customFormat="1" ht="26.25" customHeight="1" x14ac:dyDescent="0.2">
      <c r="A27" s="598"/>
      <c r="B27" s="894" t="s">
        <v>539</v>
      </c>
      <c r="C27" s="902" t="s">
        <v>1361</v>
      </c>
      <c r="D27" s="786"/>
      <c r="E27" s="788">
        <v>14540</v>
      </c>
      <c r="F27" s="788">
        <f>SUM(D27:E27)</f>
        <v>14540</v>
      </c>
      <c r="G27" s="802"/>
      <c r="H27" s="803"/>
      <c r="I27" s="803"/>
      <c r="J27" s="803"/>
      <c r="K27" s="803"/>
      <c r="L27" s="803"/>
      <c r="M27" s="803"/>
      <c r="N27" s="803"/>
    </row>
    <row r="28" spans="1:14" s="11" customFormat="1" ht="26.25" customHeight="1" thickBot="1" x14ac:dyDescent="0.25">
      <c r="A28" s="598"/>
      <c r="B28" s="905" t="s">
        <v>540</v>
      </c>
      <c r="C28" s="930" t="s">
        <v>1360</v>
      </c>
      <c r="D28" s="870">
        <v>621278</v>
      </c>
      <c r="E28" s="870"/>
      <c r="F28" s="870">
        <f>SUM(D28:E28)</f>
        <v>621278</v>
      </c>
      <c r="G28" s="809"/>
      <c r="H28" s="841"/>
      <c r="I28" s="841"/>
      <c r="J28" s="841"/>
      <c r="K28" s="841"/>
      <c r="L28" s="841"/>
      <c r="M28" s="841"/>
      <c r="N28" s="841"/>
    </row>
    <row r="29" spans="1:14" ht="14.45" customHeight="1" thickBot="1" x14ac:dyDescent="0.25">
      <c r="B29" s="761" t="s">
        <v>541</v>
      </c>
      <c r="C29" s="907" t="s">
        <v>1101</v>
      </c>
      <c r="D29" s="689">
        <f>SUM(D27:D28)</f>
        <v>621278</v>
      </c>
      <c r="E29" s="689">
        <f t="shared" ref="E29:F29" si="2">SUM(E27:E28)</f>
        <v>14540</v>
      </c>
      <c r="F29" s="689">
        <f t="shared" si="2"/>
        <v>635818</v>
      </c>
      <c r="G29" s="815"/>
      <c r="H29" s="893"/>
      <c r="I29" s="893"/>
      <c r="J29" s="893"/>
      <c r="K29" s="893"/>
      <c r="L29" s="893"/>
      <c r="M29" s="893"/>
      <c r="N29" s="816"/>
    </row>
    <row r="30" spans="1:14" ht="14.45" customHeight="1" x14ac:dyDescent="0.2">
      <c r="A30" s="210"/>
      <c r="B30" s="917" t="s">
        <v>542</v>
      </c>
      <c r="C30" s="918"/>
      <c r="D30" s="885"/>
      <c r="E30" s="885"/>
      <c r="F30" s="885"/>
      <c r="G30" s="928"/>
      <c r="H30" s="929"/>
      <c r="I30" s="929"/>
      <c r="J30" s="929"/>
      <c r="K30" s="929"/>
      <c r="L30" s="929"/>
      <c r="M30" s="929"/>
      <c r="N30" s="929"/>
    </row>
    <row r="31" spans="1:14" ht="14.45" customHeight="1" x14ac:dyDescent="0.2">
      <c r="A31" s="210"/>
      <c r="B31" s="894" t="s">
        <v>543</v>
      </c>
      <c r="C31" s="900" t="s">
        <v>168</v>
      </c>
      <c r="D31" s="786"/>
      <c r="E31" s="788"/>
      <c r="F31" s="788"/>
      <c r="G31" s="789"/>
      <c r="H31" s="790"/>
      <c r="I31" s="790"/>
      <c r="J31" s="790"/>
      <c r="K31" s="790"/>
      <c r="L31" s="790"/>
      <c r="M31" s="790"/>
      <c r="N31" s="790"/>
    </row>
    <row r="32" spans="1:14" ht="28.5" customHeight="1" x14ac:dyDescent="0.2">
      <c r="A32" s="210"/>
      <c r="B32" s="894" t="s">
        <v>544</v>
      </c>
      <c r="C32" s="865" t="s">
        <v>1362</v>
      </c>
      <c r="D32" s="903"/>
      <c r="E32" s="904">
        <v>1261</v>
      </c>
      <c r="F32" s="904">
        <f>D32+E32</f>
        <v>1261</v>
      </c>
      <c r="G32" s="789"/>
      <c r="H32" s="790"/>
      <c r="I32" s="790"/>
      <c r="J32" s="790"/>
      <c r="K32" s="790"/>
      <c r="L32" s="790"/>
      <c r="M32" s="790"/>
      <c r="N32" s="790"/>
    </row>
    <row r="33" spans="1:14" ht="17.25" customHeight="1" thickBot="1" x14ac:dyDescent="0.25">
      <c r="A33" s="210"/>
      <c r="B33" s="905" t="s">
        <v>545</v>
      </c>
      <c r="C33" s="906" t="s">
        <v>1363</v>
      </c>
      <c r="D33" s="927">
        <v>9900</v>
      </c>
      <c r="E33" s="927"/>
      <c r="F33" s="927">
        <f>D33+E33</f>
        <v>9900</v>
      </c>
      <c r="G33" s="812"/>
      <c r="H33" s="813"/>
      <c r="I33" s="813"/>
      <c r="J33" s="813"/>
      <c r="K33" s="813"/>
      <c r="L33" s="813"/>
      <c r="M33" s="813"/>
      <c r="N33" s="813"/>
    </row>
    <row r="34" spans="1:14" ht="14.45" customHeight="1" thickBot="1" x14ac:dyDescent="0.25">
      <c r="B34" s="761" t="s">
        <v>546</v>
      </c>
      <c r="C34" s="907" t="s">
        <v>1102</v>
      </c>
      <c r="D34" s="689">
        <f>SUM(D32:D33)</f>
        <v>9900</v>
      </c>
      <c r="E34" s="689">
        <f>SUM(E32:E33)</f>
        <v>1261</v>
      </c>
      <c r="F34" s="689">
        <f>SUM(F32:F33)</f>
        <v>11161</v>
      </c>
      <c r="G34" s="815"/>
      <c r="H34" s="893"/>
      <c r="I34" s="893"/>
      <c r="J34" s="893"/>
      <c r="K34" s="893"/>
      <c r="L34" s="893"/>
      <c r="M34" s="893"/>
      <c r="N34" s="816"/>
    </row>
    <row r="35" spans="1:14" ht="14.45" customHeight="1" x14ac:dyDescent="0.2">
      <c r="A35" s="210"/>
      <c r="B35" s="917" t="s">
        <v>564</v>
      </c>
      <c r="C35" s="918"/>
      <c r="D35" s="885"/>
      <c r="E35" s="885"/>
      <c r="F35" s="885"/>
      <c r="G35" s="928"/>
      <c r="H35" s="929"/>
      <c r="I35" s="929"/>
      <c r="J35" s="929"/>
      <c r="K35" s="929"/>
      <c r="L35" s="929"/>
      <c r="M35" s="929"/>
      <c r="N35" s="929"/>
    </row>
    <row r="36" spans="1:14" s="12" customFormat="1" ht="14.45" customHeight="1" x14ac:dyDescent="0.2">
      <c r="A36" s="898"/>
      <c r="B36" s="894" t="s">
        <v>565</v>
      </c>
      <c r="C36" s="900" t="s">
        <v>100</v>
      </c>
      <c r="D36" s="801"/>
      <c r="E36" s="801"/>
      <c r="F36" s="801"/>
      <c r="G36" s="801"/>
      <c r="H36" s="828"/>
      <c r="I36" s="828"/>
      <c r="J36" s="828"/>
      <c r="K36" s="828"/>
      <c r="L36" s="828"/>
      <c r="M36" s="828"/>
      <c r="N36" s="828"/>
    </row>
    <row r="37" spans="1:14" s="12" customFormat="1" ht="14.45" customHeight="1" thickBot="1" x14ac:dyDescent="0.25">
      <c r="A37" s="898"/>
      <c r="B37" s="905" t="s">
        <v>566</v>
      </c>
      <c r="C37" s="906" t="s">
        <v>101</v>
      </c>
      <c r="D37" s="915"/>
      <c r="E37" s="870">
        <v>2870</v>
      </c>
      <c r="F37" s="870">
        <f>SUM(E37)</f>
        <v>2870</v>
      </c>
      <c r="G37" s="915"/>
      <c r="H37" s="916"/>
      <c r="I37" s="916"/>
      <c r="J37" s="916"/>
      <c r="K37" s="916"/>
      <c r="L37" s="916"/>
      <c r="M37" s="916"/>
      <c r="N37" s="916"/>
    </row>
    <row r="38" spans="1:14" s="12" customFormat="1" ht="14.45" customHeight="1" thickBot="1" x14ac:dyDescent="0.25">
      <c r="A38" s="898"/>
      <c r="B38" s="925" t="s">
        <v>567</v>
      </c>
      <c r="C38" s="907" t="s">
        <v>102</v>
      </c>
      <c r="D38" s="689">
        <f>SUM(D37:D37)</f>
        <v>0</v>
      </c>
      <c r="E38" s="689">
        <f>SUM(E37:E37)</f>
        <v>2870</v>
      </c>
      <c r="F38" s="689">
        <f>SUM(F37:F37)</f>
        <v>2870</v>
      </c>
      <c r="G38" s="926"/>
      <c r="H38" s="920"/>
      <c r="I38" s="920"/>
      <c r="J38" s="920"/>
      <c r="K38" s="920"/>
      <c r="L38" s="920"/>
      <c r="M38" s="920"/>
      <c r="N38" s="921"/>
    </row>
    <row r="39" spans="1:14" s="12" customFormat="1" ht="15.75" customHeight="1" thickBot="1" x14ac:dyDescent="0.25">
      <c r="B39" s="910" t="s">
        <v>568</v>
      </c>
      <c r="C39" s="922"/>
      <c r="D39" s="923"/>
      <c r="E39" s="923"/>
      <c r="F39" s="923"/>
      <c r="G39" s="923"/>
      <c r="H39" s="924"/>
      <c r="I39" s="924"/>
      <c r="J39" s="924"/>
      <c r="K39" s="924"/>
      <c r="L39" s="924"/>
      <c r="M39" s="924"/>
      <c r="N39" s="924"/>
    </row>
    <row r="40" spans="1:14" s="12" customFormat="1" ht="14.45" customHeight="1" thickBot="1" x14ac:dyDescent="0.25">
      <c r="B40" s="762" t="s">
        <v>569</v>
      </c>
      <c r="C40" s="907" t="s">
        <v>103</v>
      </c>
      <c r="D40" s="689">
        <f t="shared" ref="D40:I40" si="3">D16+D29+D34+D38+D24+D21</f>
        <v>650625</v>
      </c>
      <c r="E40" s="689">
        <f t="shared" si="3"/>
        <v>201919</v>
      </c>
      <c r="F40" s="689">
        <f t="shared" si="3"/>
        <v>852544</v>
      </c>
      <c r="G40" s="689">
        <f t="shared" si="3"/>
        <v>0</v>
      </c>
      <c r="H40" s="689">
        <f t="shared" si="3"/>
        <v>0</v>
      </c>
      <c r="I40" s="689">
        <f t="shared" si="3"/>
        <v>0</v>
      </c>
      <c r="J40" s="920"/>
      <c r="K40" s="920"/>
      <c r="L40" s="920"/>
      <c r="M40" s="920"/>
      <c r="N40" s="921"/>
    </row>
    <row r="41" spans="1:14" s="12" customFormat="1" ht="14.45" customHeight="1" x14ac:dyDescent="0.2">
      <c r="A41" s="898"/>
      <c r="B41" s="917" t="s">
        <v>570</v>
      </c>
      <c r="C41" s="918"/>
      <c r="D41" s="885"/>
      <c r="E41" s="885"/>
      <c r="F41" s="885"/>
      <c r="G41" s="885"/>
      <c r="H41" s="885"/>
      <c r="I41" s="885"/>
      <c r="J41" s="919"/>
      <c r="K41" s="919"/>
      <c r="L41" s="919"/>
      <c r="M41" s="919"/>
      <c r="N41" s="919"/>
    </row>
    <row r="42" spans="1:14" s="12" customFormat="1" ht="14.45" customHeight="1" x14ac:dyDescent="0.2">
      <c r="A42" s="898"/>
      <c r="B42" s="894" t="s">
        <v>571</v>
      </c>
      <c r="C42" s="804" t="s">
        <v>667</v>
      </c>
      <c r="D42" s="786"/>
      <c r="E42" s="786"/>
      <c r="F42" s="786"/>
      <c r="G42" s="786"/>
      <c r="H42" s="786"/>
      <c r="I42" s="786"/>
      <c r="J42" s="828"/>
      <c r="K42" s="828"/>
      <c r="L42" s="828"/>
      <c r="M42" s="828"/>
      <c r="N42" s="828"/>
    </row>
    <row r="43" spans="1:14" s="12" customFormat="1" ht="14.45" customHeight="1" x14ac:dyDescent="0.2">
      <c r="A43" s="898"/>
      <c r="B43" s="894" t="s">
        <v>572</v>
      </c>
      <c r="C43" s="896" t="s">
        <v>1103</v>
      </c>
      <c r="D43" s="786"/>
      <c r="E43" s="786"/>
      <c r="F43" s="786"/>
      <c r="G43" s="786"/>
      <c r="H43" s="786"/>
      <c r="I43" s="786"/>
      <c r="J43" s="828"/>
      <c r="K43" s="828"/>
      <c r="L43" s="828"/>
      <c r="M43" s="828"/>
      <c r="N43" s="828"/>
    </row>
    <row r="44" spans="1:14" ht="14.45" customHeight="1" x14ac:dyDescent="0.2">
      <c r="A44" s="210"/>
      <c r="B44" s="894" t="s">
        <v>624</v>
      </c>
      <c r="C44" s="865" t="s">
        <v>1299</v>
      </c>
      <c r="D44" s="789"/>
      <c r="E44" s="789">
        <v>1285</v>
      </c>
      <c r="F44" s="789">
        <f>D44+E44</f>
        <v>1285</v>
      </c>
      <c r="G44" s="788"/>
      <c r="H44" s="788"/>
      <c r="I44" s="788"/>
      <c r="J44" s="790"/>
      <c r="K44" s="790"/>
      <c r="L44" s="790"/>
      <c r="M44" s="790"/>
      <c r="N44" s="790"/>
    </row>
    <row r="45" spans="1:14" ht="14.45" customHeight="1" thickBot="1" x14ac:dyDescent="0.25">
      <c r="A45" s="210"/>
      <c r="B45" s="905" t="s">
        <v>625</v>
      </c>
      <c r="C45" s="909" t="s">
        <v>1106</v>
      </c>
      <c r="D45" s="809">
        <f t="shared" ref="D45:F46" si="4">SUM(D44)</f>
        <v>0</v>
      </c>
      <c r="E45" s="809">
        <f t="shared" si="4"/>
        <v>1285</v>
      </c>
      <c r="F45" s="809">
        <f t="shared" si="4"/>
        <v>1285</v>
      </c>
      <c r="G45" s="870"/>
      <c r="H45" s="870"/>
      <c r="I45" s="870"/>
      <c r="J45" s="813"/>
      <c r="K45" s="813"/>
      <c r="L45" s="813"/>
      <c r="M45" s="813"/>
      <c r="N45" s="813"/>
    </row>
    <row r="46" spans="1:14" ht="14.45" customHeight="1" thickBot="1" x14ac:dyDescent="0.25">
      <c r="B46" s="761" t="s">
        <v>626</v>
      </c>
      <c r="C46" s="907" t="s">
        <v>672</v>
      </c>
      <c r="D46" s="696">
        <f t="shared" si="4"/>
        <v>0</v>
      </c>
      <c r="E46" s="696">
        <f t="shared" si="4"/>
        <v>1285</v>
      </c>
      <c r="F46" s="696">
        <f t="shared" si="4"/>
        <v>1285</v>
      </c>
      <c r="G46" s="908"/>
      <c r="H46" s="908"/>
      <c r="I46" s="908"/>
      <c r="J46" s="893"/>
      <c r="K46" s="893"/>
      <c r="L46" s="893"/>
      <c r="M46" s="893"/>
      <c r="N46" s="816"/>
    </row>
    <row r="47" spans="1:14" ht="14.45" customHeight="1" thickBot="1" x14ac:dyDescent="0.25">
      <c r="A47" s="210"/>
      <c r="B47" s="910" t="s">
        <v>627</v>
      </c>
      <c r="C47" s="911"/>
      <c r="D47" s="912"/>
      <c r="E47" s="912"/>
      <c r="F47" s="912"/>
      <c r="G47" s="913"/>
      <c r="H47" s="913"/>
      <c r="I47" s="913"/>
      <c r="J47" s="914"/>
      <c r="K47" s="914"/>
      <c r="L47" s="914"/>
      <c r="M47" s="914"/>
      <c r="N47" s="914"/>
    </row>
    <row r="48" spans="1:14" ht="14.45" customHeight="1" thickBot="1" x14ac:dyDescent="0.25">
      <c r="B48" s="761" t="s">
        <v>115</v>
      </c>
      <c r="C48" s="907" t="s">
        <v>995</v>
      </c>
      <c r="D48" s="689">
        <f>D40+D44</f>
        <v>650625</v>
      </c>
      <c r="E48" s="689">
        <f>E40+E44</f>
        <v>203204</v>
      </c>
      <c r="F48" s="689">
        <f>F40+F44</f>
        <v>853829</v>
      </c>
      <c r="G48" s="908"/>
      <c r="H48" s="908"/>
      <c r="I48" s="908"/>
      <c r="J48" s="893"/>
      <c r="K48" s="893"/>
      <c r="L48" s="893"/>
      <c r="M48" s="893"/>
      <c r="N48" s="816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8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2020-02-12T13:42:57Z</cp:lastPrinted>
  <dcterms:created xsi:type="dcterms:W3CDTF">2013-12-16T15:47:29Z</dcterms:created>
  <dcterms:modified xsi:type="dcterms:W3CDTF">2020-02-19T10:36:35Z</dcterms:modified>
</cp:coreProperties>
</file>